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1340" windowHeight="6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W6" i="1"/>
  <c r="T7"/>
  <c r="B6" s="1"/>
  <c r="T8"/>
  <c r="U9" s="1"/>
  <c r="T9"/>
  <c r="T11"/>
  <c r="U11" s="1"/>
  <c r="G12"/>
  <c r="T12"/>
  <c r="U12"/>
  <c r="W12"/>
  <c r="Y12"/>
  <c r="AA12"/>
  <c r="AC12"/>
  <c r="T13"/>
  <c r="T14"/>
  <c r="U14"/>
  <c r="Y14"/>
  <c r="AC14"/>
  <c r="T15"/>
  <c r="U15" s="1"/>
  <c r="T18"/>
  <c r="Y18"/>
  <c r="AD18"/>
  <c r="AI18"/>
  <c r="AN18"/>
  <c r="D20"/>
  <c r="E20"/>
  <c r="V20"/>
  <c r="W20"/>
  <c r="AA20"/>
  <c r="AB20"/>
  <c r="AF20"/>
  <c r="AG20"/>
  <c r="AK20"/>
  <c r="AL20"/>
  <c r="AP20"/>
  <c r="AQ20"/>
  <c r="B21"/>
  <c r="C21"/>
  <c r="D21" s="1"/>
  <c r="AK21"/>
  <c r="AL21"/>
  <c r="AN21"/>
  <c r="AO21" s="1"/>
  <c r="AJ21" s="1"/>
  <c r="B22"/>
  <c r="D22" s="1"/>
  <c r="C22"/>
  <c r="B23"/>
  <c r="C23"/>
  <c r="D23" s="1"/>
  <c r="AK23"/>
  <c r="AL23"/>
  <c r="AN23"/>
  <c r="AN24" s="1"/>
  <c r="B24"/>
  <c r="C24"/>
  <c r="D24"/>
  <c r="AK24"/>
  <c r="AL24"/>
  <c r="B25"/>
  <c r="C25"/>
  <c r="D25" s="1"/>
  <c r="AK25"/>
  <c r="AL25"/>
  <c r="B26"/>
  <c r="C26"/>
  <c r="D26" s="1"/>
  <c r="AK26"/>
  <c r="AL26"/>
  <c r="B27"/>
  <c r="D27" s="1"/>
  <c r="C27"/>
  <c r="B28"/>
  <c r="C28"/>
  <c r="D28" s="1"/>
  <c r="AK28"/>
  <c r="AL28"/>
  <c r="B29"/>
  <c r="D29" s="1"/>
  <c r="C29"/>
  <c r="AK29"/>
  <c r="AL29"/>
  <c r="B30"/>
  <c r="C30"/>
  <c r="D30" s="1"/>
  <c r="AK30"/>
  <c r="AL30"/>
  <c r="B31"/>
  <c r="C31"/>
  <c r="D31"/>
  <c r="AK31"/>
  <c r="AL31"/>
  <c r="B32"/>
  <c r="C32"/>
  <c r="D32" s="1"/>
  <c r="AK32"/>
  <c r="AL32"/>
  <c r="B33"/>
  <c r="C33"/>
  <c r="D33"/>
  <c r="AK33"/>
  <c r="AL33"/>
  <c r="B34"/>
  <c r="C34"/>
  <c r="D34" s="1"/>
  <c r="AK34"/>
  <c r="AL34"/>
  <c r="B35"/>
  <c r="D35" s="1"/>
  <c r="C35"/>
  <c r="B36"/>
  <c r="C36"/>
  <c r="D36" s="1"/>
  <c r="AK36"/>
  <c r="AL36"/>
  <c r="B37"/>
  <c r="C37"/>
  <c r="D37"/>
  <c r="AK37"/>
  <c r="AL37"/>
  <c r="B38"/>
  <c r="C38"/>
  <c r="D38" s="1"/>
  <c r="AK38"/>
  <c r="AL38"/>
  <c r="B39"/>
  <c r="C39"/>
  <c r="D39" s="1"/>
  <c r="B40"/>
  <c r="D40" s="1"/>
  <c r="C40"/>
  <c r="AK40"/>
  <c r="AL40"/>
  <c r="B41"/>
  <c r="C41"/>
  <c r="D41" s="1"/>
  <c r="B42"/>
  <c r="C42"/>
  <c r="D42"/>
  <c r="V42"/>
  <c r="W42"/>
  <c r="AK42"/>
  <c r="AL42"/>
  <c r="B43"/>
  <c r="C43"/>
  <c r="D43" s="1"/>
  <c r="B44"/>
  <c r="D44" s="1"/>
  <c r="AO45" s="1"/>
  <c r="C44"/>
  <c r="AK44"/>
  <c r="AL44"/>
  <c r="B45"/>
  <c r="C45"/>
  <c r="D45" s="1"/>
  <c r="B46"/>
  <c r="C46"/>
  <c r="D46"/>
  <c r="AK46"/>
  <c r="AL46"/>
  <c r="B47"/>
  <c r="C47"/>
  <c r="D47" s="1"/>
  <c r="AO48" s="1"/>
  <c r="AK47"/>
  <c r="AL47"/>
  <c r="B48"/>
  <c r="C48"/>
  <c r="D48"/>
  <c r="B49"/>
  <c r="C49"/>
  <c r="D49" s="1"/>
  <c r="AK49"/>
  <c r="AL49"/>
  <c r="B50"/>
  <c r="D50" s="1"/>
  <c r="C50"/>
  <c r="AK50"/>
  <c r="AL50"/>
  <c r="B51"/>
  <c r="C51"/>
  <c r="D51" s="1"/>
  <c r="AK51"/>
  <c r="AL51"/>
  <c r="B52"/>
  <c r="D52" s="1"/>
  <c r="C52"/>
  <c r="B53"/>
  <c r="C53"/>
  <c r="D53" s="1"/>
  <c r="AO54" s="1"/>
  <c r="AK53"/>
  <c r="AL53"/>
  <c r="B54"/>
  <c r="C54"/>
  <c r="D54"/>
  <c r="B55"/>
  <c r="C55"/>
  <c r="D55" s="1"/>
  <c r="B56"/>
  <c r="C56"/>
  <c r="D56" s="1"/>
  <c r="AK56"/>
  <c r="AL56"/>
  <c r="B57"/>
  <c r="C57"/>
  <c r="D57" s="1"/>
  <c r="B58"/>
  <c r="C58"/>
  <c r="D58"/>
  <c r="AK58"/>
  <c r="AL58"/>
  <c r="B59"/>
  <c r="C59"/>
  <c r="D59" s="1"/>
  <c r="B60"/>
  <c r="D60" s="1"/>
  <c r="C60"/>
  <c r="AK60"/>
  <c r="AL60"/>
  <c r="B61"/>
  <c r="D61" s="1"/>
  <c r="C61"/>
  <c r="B62"/>
  <c r="C62"/>
  <c r="D62" s="1"/>
  <c r="AK62"/>
  <c r="AL62"/>
  <c r="B63"/>
  <c r="C63"/>
  <c r="D63"/>
  <c r="AK63"/>
  <c r="AL63"/>
  <c r="B64"/>
  <c r="C64"/>
  <c r="D64" s="1"/>
  <c r="B65"/>
  <c r="D65" s="1"/>
  <c r="C65"/>
  <c r="AK65"/>
  <c r="AL65"/>
  <c r="B66"/>
  <c r="C66"/>
  <c r="D66" s="1"/>
  <c r="AO67" s="1"/>
  <c r="AK66"/>
  <c r="AL66"/>
  <c r="B67"/>
  <c r="D67" s="1"/>
  <c r="C67"/>
  <c r="B68"/>
  <c r="C68"/>
  <c r="D68" s="1"/>
  <c r="AO69" s="1"/>
  <c r="AK68"/>
  <c r="AL68"/>
  <c r="B69"/>
  <c r="C69"/>
  <c r="D69"/>
  <c r="B70"/>
  <c r="C70"/>
  <c r="D70" s="1"/>
  <c r="AK70"/>
  <c r="AL70"/>
  <c r="B71"/>
  <c r="D71" s="1"/>
  <c r="C71"/>
  <c r="B72"/>
  <c r="C72"/>
  <c r="D72" s="1"/>
  <c r="AK72"/>
  <c r="AL72"/>
  <c r="B73"/>
  <c r="C73"/>
  <c r="D73"/>
  <c r="AK73"/>
  <c r="AL73"/>
  <c r="B74"/>
  <c r="C74"/>
  <c r="D74" s="1"/>
  <c r="B75"/>
  <c r="C75"/>
  <c r="D75"/>
  <c r="AK75"/>
  <c r="AL75"/>
  <c r="B76"/>
  <c r="C76"/>
  <c r="D76" s="1"/>
  <c r="B77"/>
  <c r="D77" s="1"/>
  <c r="C77"/>
  <c r="AK77"/>
  <c r="AL77"/>
  <c r="B78"/>
  <c r="C78"/>
  <c r="D78" s="1"/>
  <c r="AK78"/>
  <c r="AL78"/>
  <c r="B79"/>
  <c r="C79"/>
  <c r="D79" s="1"/>
  <c r="B80"/>
  <c r="C80"/>
  <c r="D80"/>
  <c r="AK80"/>
  <c r="AL80"/>
  <c r="B81"/>
  <c r="C81"/>
  <c r="D81" s="1"/>
  <c r="B82"/>
  <c r="D82" s="1"/>
  <c r="AO83" s="1"/>
  <c r="C82"/>
  <c r="AK82"/>
  <c r="AL82"/>
  <c r="B83"/>
  <c r="C83"/>
  <c r="D83"/>
  <c r="B84"/>
  <c r="C84"/>
  <c r="D84" s="1"/>
  <c r="AK84"/>
  <c r="AL84"/>
  <c r="B85"/>
  <c r="C85"/>
  <c r="D85"/>
  <c r="AK85"/>
  <c r="AL85"/>
  <c r="B86"/>
  <c r="C86"/>
  <c r="D86" s="1"/>
  <c r="B87"/>
  <c r="D87" s="1"/>
  <c r="C87"/>
  <c r="AK87"/>
  <c r="AL87"/>
  <c r="B88"/>
  <c r="C88"/>
  <c r="D88" s="1"/>
  <c r="AK88"/>
  <c r="AL88"/>
  <c r="B89"/>
  <c r="C89"/>
  <c r="D89"/>
  <c r="AK89"/>
  <c r="AL89"/>
  <c r="B90"/>
  <c r="C90"/>
  <c r="D90" s="1"/>
  <c r="B91"/>
  <c r="D91" s="1"/>
  <c r="C91"/>
  <c r="AK91"/>
  <c r="AL91"/>
  <c r="B92"/>
  <c r="C92"/>
  <c r="D92" s="1"/>
  <c r="AK92"/>
  <c r="AL92"/>
  <c r="B93"/>
  <c r="C93"/>
  <c r="D93" s="1"/>
  <c r="AO94" s="1"/>
  <c r="AK93"/>
  <c r="AL93"/>
  <c r="B94"/>
  <c r="C94"/>
  <c r="D94"/>
  <c r="AK94"/>
  <c r="AL94"/>
  <c r="B95"/>
  <c r="D95" s="1"/>
  <c r="C95"/>
  <c r="AK95"/>
  <c r="AL95"/>
  <c r="B96"/>
  <c r="C96"/>
  <c r="D96"/>
  <c r="AK96"/>
  <c r="AL96"/>
  <c r="B97"/>
  <c r="C97"/>
  <c r="D97" s="1"/>
  <c r="AO97" s="1"/>
  <c r="AK97"/>
  <c r="AL97"/>
  <c r="D98"/>
  <c r="AK98"/>
  <c r="AL98"/>
  <c r="B99"/>
  <c r="D99" s="1"/>
  <c r="AO99" s="1"/>
  <c r="C99"/>
  <c r="B100"/>
  <c r="C100"/>
  <c r="D100" s="1"/>
  <c r="AK100"/>
  <c r="AL100"/>
  <c r="B101"/>
  <c r="C101"/>
  <c r="D101"/>
  <c r="AK101"/>
  <c r="AL101"/>
  <c r="B102"/>
  <c r="C102"/>
  <c r="D102" s="1"/>
  <c r="AK102"/>
  <c r="AL102"/>
  <c r="B103"/>
  <c r="C103"/>
  <c r="D103"/>
  <c r="AK103"/>
  <c r="AL103"/>
  <c r="B104"/>
  <c r="C104"/>
  <c r="D104" s="1"/>
  <c r="AO105" s="1"/>
  <c r="AK104"/>
  <c r="AL104"/>
  <c r="B105"/>
  <c r="D105" s="1"/>
  <c r="C105"/>
  <c r="B106"/>
  <c r="C106"/>
  <c r="D106" s="1"/>
  <c r="AK106"/>
  <c r="AL106"/>
  <c r="B107"/>
  <c r="C107"/>
  <c r="D107"/>
  <c r="AK107"/>
  <c r="AL107"/>
  <c r="B108"/>
  <c r="C108"/>
  <c r="D108" s="1"/>
  <c r="AK108"/>
  <c r="AL108"/>
  <c r="B109"/>
  <c r="C109"/>
  <c r="D109"/>
  <c r="AK109"/>
  <c r="AL109"/>
  <c r="B110"/>
  <c r="C110"/>
  <c r="D110" s="1"/>
  <c r="B111"/>
  <c r="D111" s="1"/>
  <c r="C111"/>
  <c r="V111"/>
  <c r="W111"/>
  <c r="AK111"/>
  <c r="AL111"/>
  <c r="B112"/>
  <c r="C112"/>
  <c r="D112" s="1"/>
  <c r="AK112"/>
  <c r="AL112"/>
  <c r="B113"/>
  <c r="C113"/>
  <c r="D113"/>
  <c r="AK113"/>
  <c r="AL113"/>
  <c r="B114"/>
  <c r="C114"/>
  <c r="D114" s="1"/>
  <c r="AK114"/>
  <c r="AL114"/>
  <c r="B115"/>
  <c r="C115"/>
  <c r="D115" s="1"/>
  <c r="B116"/>
  <c r="D116" s="1"/>
  <c r="AO117" s="1"/>
  <c r="C116"/>
  <c r="AK116"/>
  <c r="AL116"/>
  <c r="B117"/>
  <c r="C117"/>
  <c r="D117" s="1"/>
  <c r="B118"/>
  <c r="C118"/>
  <c r="D118"/>
  <c r="AK118"/>
  <c r="AL118"/>
  <c r="B119"/>
  <c r="C119"/>
  <c r="D119" s="1"/>
  <c r="AO120" s="1"/>
  <c r="AK119"/>
  <c r="AL119"/>
  <c r="B120"/>
  <c r="C120"/>
  <c r="D120"/>
  <c r="B121"/>
  <c r="C121"/>
  <c r="D121" s="1"/>
  <c r="AK121"/>
  <c r="AL121"/>
  <c r="B122"/>
  <c r="D122" s="1"/>
  <c r="C122"/>
  <c r="B123"/>
  <c r="C123"/>
  <c r="D123" s="1"/>
  <c r="AK123"/>
  <c r="AL123"/>
  <c r="B124"/>
  <c r="C124"/>
  <c r="D124"/>
  <c r="AK124"/>
  <c r="AL124"/>
  <c r="B125"/>
  <c r="C125"/>
  <c r="D125" s="1"/>
  <c r="AO126" s="1"/>
  <c r="AK125"/>
  <c r="AL125"/>
  <c r="B126"/>
  <c r="C126"/>
  <c r="D126"/>
  <c r="V126"/>
  <c r="W126"/>
  <c r="AK126"/>
  <c r="AL126"/>
  <c r="B127"/>
  <c r="C127"/>
  <c r="D127" s="1"/>
  <c r="AK127"/>
  <c r="AL127"/>
  <c r="B128"/>
  <c r="D128" s="1"/>
  <c r="C128"/>
  <c r="AK128"/>
  <c r="AL128"/>
  <c r="B129"/>
  <c r="C129"/>
  <c r="D129" s="1"/>
  <c r="AO130" s="1"/>
  <c r="AK129"/>
  <c r="AL129"/>
  <c r="B130"/>
  <c r="C130"/>
  <c r="D130"/>
  <c r="AK130"/>
  <c r="AL130"/>
  <c r="B131"/>
  <c r="D131" s="1"/>
  <c r="C131"/>
  <c r="AK131"/>
  <c r="AL131"/>
  <c r="B132"/>
  <c r="C132"/>
  <c r="D132" s="1"/>
  <c r="AK132"/>
  <c r="AL132"/>
  <c r="B133"/>
  <c r="D133" s="1"/>
  <c r="AO134" s="1"/>
  <c r="C133"/>
  <c r="AK133"/>
  <c r="AL133"/>
  <c r="B134"/>
  <c r="C134"/>
  <c r="D134"/>
  <c r="AK134"/>
  <c r="AL134"/>
  <c r="B135"/>
  <c r="C135"/>
  <c r="D135" s="1"/>
  <c r="AK135"/>
  <c r="AL135"/>
  <c r="B136"/>
  <c r="C136"/>
  <c r="D136"/>
  <c r="AK136"/>
  <c r="AL136"/>
  <c r="B137"/>
  <c r="C137"/>
  <c r="D137" s="1"/>
  <c r="B138"/>
  <c r="D138" s="1"/>
  <c r="C138"/>
  <c r="AK138"/>
  <c r="AL138"/>
  <c r="B139"/>
  <c r="C139"/>
  <c r="D139" s="1"/>
  <c r="B140"/>
  <c r="C140"/>
  <c r="D140"/>
  <c r="AK140"/>
  <c r="AL140"/>
  <c r="B141"/>
  <c r="C141"/>
  <c r="D141" s="1"/>
  <c r="AO142" s="1"/>
  <c r="AK141"/>
  <c r="AL141"/>
  <c r="B142"/>
  <c r="D142" s="1"/>
  <c r="C142"/>
  <c r="B143"/>
  <c r="C143"/>
  <c r="D143" s="1"/>
  <c r="AO144" s="1"/>
  <c r="AK143"/>
  <c r="AL143"/>
  <c r="B144"/>
  <c r="C144"/>
  <c r="D144"/>
  <c r="B145"/>
  <c r="C145"/>
  <c r="D145" s="1"/>
  <c r="AK145"/>
  <c r="AL145"/>
  <c r="B146"/>
  <c r="D146" s="1"/>
  <c r="C146"/>
  <c r="AK146"/>
  <c r="AL146"/>
  <c r="B147"/>
  <c r="C147"/>
  <c r="D147" s="1"/>
  <c r="AK147"/>
  <c r="AL147"/>
  <c r="B148"/>
  <c r="D148" s="1"/>
  <c r="C148"/>
  <c r="AK148"/>
  <c r="AL148"/>
  <c r="B149"/>
  <c r="C149"/>
  <c r="D149" s="1"/>
  <c r="AK149"/>
  <c r="AL149"/>
  <c r="B150"/>
  <c r="D150" s="1"/>
  <c r="C150"/>
  <c r="AK150"/>
  <c r="AL150"/>
  <c r="B151"/>
  <c r="C151"/>
  <c r="D151" s="1"/>
  <c r="AK151"/>
  <c r="AL151"/>
  <c r="B152"/>
  <c r="C152"/>
  <c r="D152" s="1"/>
  <c r="AK152"/>
  <c r="AL152"/>
  <c r="B153"/>
  <c r="C153"/>
  <c r="D153" s="1"/>
  <c r="AK153"/>
  <c r="AL153"/>
  <c r="B154"/>
  <c r="D154" s="1"/>
  <c r="C154"/>
  <c r="AK154"/>
  <c r="AL154"/>
  <c r="B155"/>
  <c r="C155"/>
  <c r="D155" s="1"/>
  <c r="AK155"/>
  <c r="AL155"/>
  <c r="B156"/>
  <c r="C156"/>
  <c r="D156"/>
  <c r="AK156"/>
  <c r="AL156"/>
  <c r="B157"/>
  <c r="D157"/>
  <c r="AK157"/>
  <c r="AL157"/>
  <c r="B158"/>
  <c r="C158"/>
  <c r="D158" s="1"/>
  <c r="AK158"/>
  <c r="AL158"/>
  <c r="B159"/>
  <c r="C159"/>
  <c r="D159"/>
  <c r="AK159"/>
  <c r="AL159"/>
  <c r="B160"/>
  <c r="C160"/>
  <c r="D160" s="1"/>
  <c r="AK160"/>
  <c r="AL160"/>
  <c r="B161"/>
  <c r="C161"/>
  <c r="D161"/>
  <c r="AO162" s="1"/>
  <c r="AK161"/>
  <c r="AL161"/>
  <c r="B162"/>
  <c r="C162"/>
  <c r="D162" s="1"/>
  <c r="B163"/>
  <c r="D163" s="1"/>
  <c r="C163"/>
  <c r="AK163"/>
  <c r="AL163"/>
  <c r="B164"/>
  <c r="C164"/>
  <c r="D164" s="1"/>
  <c r="AK164"/>
  <c r="AL164"/>
  <c r="B165"/>
  <c r="C165"/>
  <c r="D165" s="1"/>
  <c r="AK165"/>
  <c r="AL165"/>
  <c r="B166"/>
  <c r="C166"/>
  <c r="D166"/>
  <c r="AO167" s="1"/>
  <c r="U167" s="1"/>
  <c r="AK166"/>
  <c r="AL166"/>
  <c r="B167"/>
  <c r="C167"/>
  <c r="D167" s="1"/>
  <c r="V167"/>
  <c r="W167"/>
  <c r="AK167"/>
  <c r="AL167"/>
  <c r="B168"/>
  <c r="C168"/>
  <c r="D168"/>
  <c r="AK168"/>
  <c r="AL168"/>
  <c r="B169"/>
  <c r="C169"/>
  <c r="AK169"/>
  <c r="AL169"/>
  <c r="B170"/>
  <c r="D170" s="1"/>
  <c r="C170"/>
  <c r="AK170"/>
  <c r="AL170"/>
  <c r="B171"/>
  <c r="C171"/>
  <c r="D171" s="1"/>
  <c r="AK171"/>
  <c r="AL171"/>
  <c r="B172"/>
  <c r="D172" s="1"/>
  <c r="C172"/>
  <c r="B173"/>
  <c r="C173"/>
  <c r="D173"/>
  <c r="AK173"/>
  <c r="AL173"/>
  <c r="B174"/>
  <c r="C174"/>
  <c r="D174" s="1"/>
  <c r="AK174"/>
  <c r="AL174"/>
  <c r="B175"/>
  <c r="C175"/>
  <c r="D175"/>
  <c r="AK175"/>
  <c r="AL175"/>
  <c r="D176"/>
  <c r="AK176"/>
  <c r="AL176"/>
  <c r="B177"/>
  <c r="C177"/>
  <c r="D177" s="1"/>
  <c r="AK177"/>
  <c r="AL177"/>
  <c r="B178"/>
  <c r="C178"/>
  <c r="D178" s="1"/>
  <c r="AK178"/>
  <c r="AL178"/>
  <c r="B179"/>
  <c r="D179" s="1"/>
  <c r="C179"/>
  <c r="AI179"/>
  <c r="AK179"/>
  <c r="AL179"/>
  <c r="B180"/>
  <c r="D180" s="1"/>
  <c r="C180"/>
  <c r="AK180"/>
  <c r="AL180"/>
  <c r="AN180"/>
  <c r="AI180" s="1"/>
  <c r="AO180"/>
  <c r="AJ180" s="1"/>
  <c r="B181"/>
  <c r="C181"/>
  <c r="U181"/>
  <c r="V181"/>
  <c r="W181"/>
  <c r="AK181"/>
  <c r="AL181"/>
  <c r="AN181"/>
  <c r="AI181" s="1"/>
  <c r="AO181"/>
  <c r="AJ181" s="1"/>
  <c r="B182"/>
  <c r="C182"/>
  <c r="D182" s="1"/>
  <c r="AK182"/>
  <c r="AL182"/>
  <c r="AN182"/>
  <c r="AN183" s="1"/>
  <c r="AI183" s="1"/>
  <c r="B183"/>
  <c r="C183"/>
  <c r="D183"/>
  <c r="AK183"/>
  <c r="AL183"/>
  <c r="B184"/>
  <c r="C184"/>
  <c r="D184" s="1"/>
  <c r="AK184"/>
  <c r="AL184"/>
  <c r="B185"/>
  <c r="D185" s="1"/>
  <c r="C185"/>
  <c r="AK185"/>
  <c r="AL185"/>
  <c r="B186"/>
  <c r="C186"/>
  <c r="D186" s="1"/>
  <c r="AK186"/>
  <c r="AL186"/>
  <c r="B187"/>
  <c r="C187"/>
  <c r="D187" s="1"/>
  <c r="AK187"/>
  <c r="AL187"/>
  <c r="B188"/>
  <c r="C188"/>
  <c r="D188"/>
  <c r="AK188"/>
  <c r="AL188"/>
  <c r="B189"/>
  <c r="C189"/>
  <c r="D189" s="1"/>
  <c r="AK189"/>
  <c r="AL189"/>
  <c r="B190"/>
  <c r="D190" s="1"/>
  <c r="C190"/>
  <c r="B191"/>
  <c r="C191"/>
  <c r="D191"/>
  <c r="AK191"/>
  <c r="AL191"/>
  <c r="B192"/>
  <c r="C192"/>
  <c r="D192" s="1"/>
  <c r="AK192"/>
  <c r="AL192"/>
  <c r="B193"/>
  <c r="C193"/>
  <c r="D193" s="1"/>
  <c r="AK193"/>
  <c r="AL193"/>
  <c r="B194"/>
  <c r="D194" s="1"/>
  <c r="AO195" s="1"/>
  <c r="C194"/>
  <c r="AK194"/>
  <c r="AL194"/>
  <c r="B195"/>
  <c r="C195"/>
  <c r="D195"/>
  <c r="AK195"/>
  <c r="AL195"/>
  <c r="B196"/>
  <c r="D196" s="1"/>
  <c r="C196"/>
  <c r="AK196"/>
  <c r="AL196"/>
  <c r="B197"/>
  <c r="C197"/>
  <c r="D197"/>
  <c r="AK197"/>
  <c r="AL197"/>
  <c r="B198"/>
  <c r="C198"/>
  <c r="D198"/>
  <c r="AK198"/>
  <c r="AL198"/>
  <c r="B199"/>
  <c r="D199" s="1"/>
  <c r="AO200" s="1"/>
  <c r="C199"/>
  <c r="AK199"/>
  <c r="AL199"/>
  <c r="B200"/>
  <c r="C200"/>
  <c r="D200" s="1"/>
  <c r="B201"/>
  <c r="D201" s="1"/>
  <c r="C201"/>
  <c r="AK201"/>
  <c r="AL201"/>
  <c r="B202"/>
  <c r="C202"/>
  <c r="D202"/>
  <c r="AK202"/>
  <c r="AL202"/>
  <c r="B203"/>
  <c r="C203"/>
  <c r="D203"/>
  <c r="AK203"/>
  <c r="AL203"/>
  <c r="B204"/>
  <c r="C204"/>
  <c r="D204" s="1"/>
  <c r="AK204"/>
  <c r="AL204"/>
  <c r="B205"/>
  <c r="C205"/>
  <c r="D205"/>
  <c r="AK205"/>
  <c r="AL205"/>
  <c r="B206"/>
  <c r="C206"/>
  <c r="D206" s="1"/>
  <c r="AK206"/>
  <c r="AL206"/>
  <c r="B207"/>
  <c r="D207" s="1"/>
  <c r="C207"/>
  <c r="AK207"/>
  <c r="AL207"/>
  <c r="AJ195" l="1"/>
  <c r="U195"/>
  <c r="AE195"/>
  <c r="AO177"/>
  <c r="AO172"/>
  <c r="AO190"/>
  <c r="AE97"/>
  <c r="AJ97"/>
  <c r="G15"/>
  <c r="AO185"/>
  <c r="AO81"/>
  <c r="AO39"/>
  <c r="AO22"/>
  <c r="AN22" s="1"/>
  <c r="AN184"/>
  <c r="AO182"/>
  <c r="AJ182" s="1"/>
  <c r="D181"/>
  <c r="D169"/>
  <c r="AO122"/>
  <c r="AO115"/>
  <c r="AO90"/>
  <c r="AO79"/>
  <c r="AO71"/>
  <c r="AO59"/>
  <c r="AO43"/>
  <c r="AO41"/>
  <c r="AO35"/>
  <c r="AO27"/>
  <c r="AJ126"/>
  <c r="U126"/>
  <c r="AE126"/>
  <c r="G11"/>
  <c r="W11"/>
  <c r="AA11"/>
  <c r="V11"/>
  <c r="C11" s="1"/>
  <c r="Z11"/>
  <c r="Y11"/>
  <c r="AC11"/>
  <c r="X11"/>
  <c r="F11" s="1"/>
  <c r="AB11"/>
  <c r="AI24"/>
  <c r="AN25"/>
  <c r="AO24"/>
  <c r="G9"/>
  <c r="AI182"/>
  <c r="AO110"/>
  <c r="AO74"/>
  <c r="AO183"/>
  <c r="AO137"/>
  <c r="AO86"/>
  <c r="AO64"/>
  <c r="AO61"/>
  <c r="AO57"/>
  <c r="AJ167"/>
  <c r="AE167"/>
  <c r="AE134"/>
  <c r="Z134"/>
  <c r="AJ134"/>
  <c r="AJ130"/>
  <c r="AE130"/>
  <c r="AJ94"/>
  <c r="AE94"/>
  <c r="AO139"/>
  <c r="AO76"/>
  <c r="AO52"/>
  <c r="AI23"/>
  <c r="AO23"/>
  <c r="AJ23" s="1"/>
  <c r="Z14"/>
  <c r="V14"/>
  <c r="D14" s="1"/>
  <c r="AB12"/>
  <c r="X12"/>
  <c r="F12" s="1"/>
  <c r="E6"/>
  <c r="AI21"/>
  <c r="AA14"/>
  <c r="W14"/>
  <c r="G14"/>
  <c r="C14"/>
  <c r="AB14"/>
  <c r="X14"/>
  <c r="F14" s="1"/>
  <c r="U13"/>
  <c r="Z12"/>
  <c r="V12"/>
  <c r="C12" s="1"/>
  <c r="T10"/>
  <c r="U10" s="1"/>
  <c r="G10" l="1"/>
  <c r="AJ183"/>
  <c r="AE183"/>
  <c r="Z183"/>
  <c r="E13"/>
  <c r="Y13"/>
  <c r="AC13"/>
  <c r="X13"/>
  <c r="F13" s="1"/>
  <c r="AB13"/>
  <c r="C13"/>
  <c r="G13"/>
  <c r="W13"/>
  <c r="AA13"/>
  <c r="V13"/>
  <c r="A13" s="1"/>
  <c r="Z13"/>
  <c r="B13" s="1"/>
  <c r="AO25"/>
  <c r="AN26"/>
  <c r="AI25"/>
  <c r="AN186"/>
  <c r="AO184"/>
  <c r="AJ184" s="1"/>
  <c r="AN185"/>
  <c r="AI185" s="1"/>
  <c r="AI184"/>
  <c r="AJ185"/>
  <c r="AE185"/>
  <c r="AE24"/>
  <c r="Z24"/>
  <c r="AJ24"/>
  <c r="AJ177"/>
  <c r="AE177"/>
  <c r="B12"/>
  <c r="E12"/>
  <c r="A12"/>
  <c r="D12"/>
  <c r="E14"/>
  <c r="D11"/>
  <c r="A11"/>
  <c r="B14"/>
  <c r="A14"/>
  <c r="E11"/>
  <c r="B11"/>
  <c r="AO26" l="1"/>
  <c r="AJ26" s="1"/>
  <c r="AN27"/>
  <c r="AI26"/>
  <c r="AN28"/>
  <c r="D13"/>
  <c r="AI186"/>
  <c r="AN187"/>
  <c r="AO186"/>
  <c r="AJ186" s="1"/>
  <c r="AJ25"/>
  <c r="AE25"/>
  <c r="AN188" l="1"/>
  <c r="AI187"/>
  <c r="AO187"/>
  <c r="AJ187" s="1"/>
  <c r="AO28"/>
  <c r="AN29"/>
  <c r="AI28"/>
  <c r="AJ28" l="1"/>
  <c r="AE28"/>
  <c r="U28"/>
  <c r="AI29"/>
  <c r="AO29"/>
  <c r="AJ29" s="1"/>
  <c r="AN30"/>
  <c r="AI188"/>
  <c r="AO188"/>
  <c r="AN189"/>
  <c r="AO30" l="1"/>
  <c r="AJ30" s="1"/>
  <c r="AN31"/>
  <c r="AI30"/>
  <c r="AJ188"/>
  <c r="AE188"/>
  <c r="Z188"/>
  <c r="AO189"/>
  <c r="AJ189" s="1"/>
  <c r="AN191"/>
  <c r="AI189"/>
  <c r="AO191" l="1"/>
  <c r="AJ191" s="1"/>
  <c r="AN192"/>
  <c r="AI191"/>
  <c r="AO31"/>
  <c r="AJ31" s="1"/>
  <c r="AI31"/>
  <c r="AN32"/>
  <c r="AN190"/>
  <c r="AO32" l="1"/>
  <c r="AN33"/>
  <c r="AI32"/>
  <c r="AI192"/>
  <c r="AN193"/>
  <c r="AO192"/>
  <c r="AJ192" s="1"/>
  <c r="AO193" l="1"/>
  <c r="AN194"/>
  <c r="AI193"/>
  <c r="AE32"/>
  <c r="Z32"/>
  <c r="AJ32"/>
  <c r="AO33"/>
  <c r="AJ33" s="1"/>
  <c r="AN34"/>
  <c r="AI33"/>
  <c r="AJ193" l="1"/>
  <c r="Z193"/>
  <c r="AE193"/>
  <c r="AO34"/>
  <c r="AJ34" s="1"/>
  <c r="AI34"/>
  <c r="AN36"/>
  <c r="AI194"/>
  <c r="AN196"/>
  <c r="AO194"/>
  <c r="AJ194" s="1"/>
  <c r="AI196" l="1"/>
  <c r="AO196"/>
  <c r="AJ196" s="1"/>
  <c r="AN197"/>
  <c r="AN35"/>
  <c r="AN37"/>
  <c r="AO36"/>
  <c r="AJ36" s="1"/>
  <c r="AI36"/>
  <c r="AN195"/>
  <c r="AI195" s="1"/>
  <c r="AI37" l="1"/>
  <c r="AN38"/>
  <c r="AO37"/>
  <c r="AN198"/>
  <c r="AO197"/>
  <c r="AJ197" s="1"/>
  <c r="AI197"/>
  <c r="AN40" l="1"/>
  <c r="AO38"/>
  <c r="AI38"/>
  <c r="AE37"/>
  <c r="Z37"/>
  <c r="AJ37"/>
  <c r="AO198"/>
  <c r="AI198"/>
  <c r="AN199"/>
  <c r="AI40" l="1"/>
  <c r="AN42"/>
  <c r="AO40"/>
  <c r="AJ40" s="1"/>
  <c r="AN201"/>
  <c r="AO199"/>
  <c r="AI199"/>
  <c r="AJ38"/>
  <c r="AE38"/>
  <c r="AJ198"/>
  <c r="AE198"/>
  <c r="AN39"/>
  <c r="AI201" l="1"/>
  <c r="AN202"/>
  <c r="AO201"/>
  <c r="AJ201" s="1"/>
  <c r="AN44"/>
  <c r="AO42"/>
  <c r="AN43"/>
  <c r="AI42"/>
  <c r="Z199"/>
  <c r="AE199"/>
  <c r="AJ199"/>
  <c r="AN200"/>
  <c r="AN41"/>
  <c r="AJ42" l="1"/>
  <c r="U42"/>
  <c r="AE42"/>
  <c r="AO202"/>
  <c r="AJ202" s="1"/>
  <c r="AN203"/>
  <c r="AI202"/>
  <c r="AI44"/>
  <c r="AN46"/>
  <c r="AO44"/>
  <c r="AJ44" s="1"/>
  <c r="AO203" l="1"/>
  <c r="AJ203" s="1"/>
  <c r="AI203"/>
  <c r="AN204"/>
  <c r="AI46"/>
  <c r="AO46"/>
  <c r="AN47"/>
  <c r="AN45"/>
  <c r="AE46" l="1"/>
  <c r="Z46"/>
  <c r="AJ46"/>
  <c r="AN49"/>
  <c r="AO47"/>
  <c r="AJ47" s="1"/>
  <c r="AI47"/>
  <c r="AI204"/>
  <c r="AO204"/>
  <c r="AN205"/>
  <c r="AE204" l="1"/>
  <c r="Z204"/>
  <c r="AJ204"/>
  <c r="AO205"/>
  <c r="AJ205" s="1"/>
  <c r="AN206"/>
  <c r="AI205"/>
  <c r="AO49"/>
  <c r="AJ49" s="1"/>
  <c r="AN50"/>
  <c r="AI49"/>
  <c r="AN48"/>
  <c r="AO206" l="1"/>
  <c r="AJ206" s="1"/>
  <c r="AN207"/>
  <c r="AI206"/>
  <c r="AI50"/>
  <c r="AN51"/>
  <c r="AO50"/>
  <c r="AJ50" s="1"/>
  <c r="AO51" l="1"/>
  <c r="AN52" s="1"/>
  <c r="AI51"/>
  <c r="AN53"/>
  <c r="AI207"/>
  <c r="AO207"/>
  <c r="AJ207" s="1"/>
  <c r="AN208"/>
  <c r="AJ51" l="1"/>
  <c r="AE51"/>
  <c r="Z51"/>
  <c r="AO208"/>
  <c r="AI208"/>
  <c r="AO53"/>
  <c r="AJ53" s="1"/>
  <c r="AN54"/>
  <c r="AN55"/>
  <c r="AI53"/>
  <c r="AI55" l="1"/>
  <c r="AN56"/>
  <c r="AO55"/>
  <c r="Z6"/>
  <c r="Z7" s="1"/>
  <c r="AE208"/>
  <c r="Z208"/>
  <c r="U208"/>
  <c r="AJ208"/>
  <c r="AE55" l="1"/>
  <c r="AJ55"/>
  <c r="AI56"/>
  <c r="AN58"/>
  <c r="AO56"/>
  <c r="W15"/>
  <c r="X15" s="1"/>
  <c r="V15"/>
  <c r="W9"/>
  <c r="X9" s="1"/>
  <c r="V9"/>
  <c r="W10"/>
  <c r="X10" s="1"/>
  <c r="V10"/>
  <c r="F9" l="1"/>
  <c r="AE56"/>
  <c r="AJ56"/>
  <c r="AN57"/>
  <c r="F10"/>
  <c r="F15"/>
  <c r="AO58"/>
  <c r="AJ58" s="1"/>
  <c r="AN59"/>
  <c r="AN60"/>
  <c r="AI58"/>
  <c r="AO60" l="1"/>
  <c r="AI60"/>
  <c r="AN62"/>
  <c r="U60" l="1"/>
  <c r="AJ60"/>
  <c r="AE60"/>
  <c r="Z60"/>
  <c r="AO62"/>
  <c r="AJ62" s="1"/>
  <c r="AN63"/>
  <c r="AI62"/>
  <c r="AN61"/>
  <c r="AN65" l="1"/>
  <c r="AO63"/>
  <c r="AJ63" s="1"/>
  <c r="AI63"/>
  <c r="AI65" l="1"/>
  <c r="AN66"/>
  <c r="AO65"/>
  <c r="AJ65" s="1"/>
  <c r="AN64"/>
  <c r="AO66" l="1"/>
  <c r="AI66"/>
  <c r="AN68"/>
  <c r="AJ66" l="1"/>
  <c r="AE66"/>
  <c r="Z66"/>
  <c r="AN70"/>
  <c r="AO68"/>
  <c r="AJ68" s="1"/>
  <c r="AI68"/>
  <c r="AN67"/>
  <c r="AO70" l="1"/>
  <c r="AJ70" s="1"/>
  <c r="AI70"/>
  <c r="AN72"/>
  <c r="AN69"/>
  <c r="AN73" l="1"/>
  <c r="AO72"/>
  <c r="AJ72" s="1"/>
  <c r="AI72"/>
  <c r="AN71"/>
  <c r="AI73" l="1"/>
  <c r="AN75"/>
  <c r="AO73"/>
  <c r="AN77" l="1"/>
  <c r="AO75"/>
  <c r="AJ75" s="1"/>
  <c r="AI75"/>
  <c r="AE73"/>
  <c r="Z73"/>
  <c r="AJ73"/>
  <c r="AN74"/>
  <c r="AN76" l="1"/>
  <c r="AI77"/>
  <c r="AN78"/>
  <c r="AO77"/>
  <c r="AJ77" s="1"/>
  <c r="AI78" l="1"/>
  <c r="AN80"/>
  <c r="AO78"/>
  <c r="AO80" l="1"/>
  <c r="AJ80" s="1"/>
  <c r="AI80"/>
  <c r="AN82"/>
  <c r="AE78"/>
  <c r="Z78"/>
  <c r="U78"/>
  <c r="AJ78"/>
  <c r="AN79"/>
  <c r="Y9" l="1"/>
  <c r="A9" s="1"/>
  <c r="AO82"/>
  <c r="AN83"/>
  <c r="AI82"/>
  <c r="AN84"/>
  <c r="AN81"/>
  <c r="AO84" l="1"/>
  <c r="AN85"/>
  <c r="AI84"/>
  <c r="AE82"/>
  <c r="AJ82"/>
  <c r="AE84" l="1"/>
  <c r="Z84"/>
  <c r="AJ84"/>
  <c r="AN87"/>
  <c r="AO85"/>
  <c r="AJ85" s="1"/>
  <c r="AI85"/>
  <c r="AI87" l="1"/>
  <c r="AO87"/>
  <c r="AJ87" s="1"/>
  <c r="AN88"/>
  <c r="AN86"/>
  <c r="AO88" l="1"/>
  <c r="AJ88" s="1"/>
  <c r="AN89"/>
  <c r="AI88"/>
  <c r="AO89" l="1"/>
  <c r="AJ89" s="1"/>
  <c r="AI89"/>
  <c r="AN91"/>
  <c r="AN92" l="1"/>
  <c r="AO91"/>
  <c r="AI91"/>
  <c r="AN90"/>
  <c r="AI92" l="1"/>
  <c r="AO92"/>
  <c r="AN93"/>
  <c r="Z91"/>
  <c r="AJ91"/>
  <c r="AE91"/>
  <c r="AE92" l="1"/>
  <c r="AJ92"/>
  <c r="AN94"/>
  <c r="AI94" s="1"/>
  <c r="AO93"/>
  <c r="AJ93" s="1"/>
  <c r="AI93"/>
  <c r="AN95"/>
  <c r="AO95" l="1"/>
  <c r="AN96"/>
  <c r="AI95"/>
  <c r="U95" l="1"/>
  <c r="AJ95"/>
  <c r="AN97"/>
  <c r="AI97" s="1"/>
  <c r="AO96"/>
  <c r="AJ96" s="1"/>
  <c r="AN98"/>
  <c r="AI96"/>
  <c r="AO98" l="1"/>
  <c r="AJ98" s="1"/>
  <c r="AI98"/>
  <c r="AN100"/>
  <c r="AN101" l="1"/>
  <c r="AO100"/>
  <c r="AJ100" s="1"/>
  <c r="AI100"/>
  <c r="AN99"/>
  <c r="AI101" l="1"/>
  <c r="AO101"/>
  <c r="AN102"/>
  <c r="AE101" l="1"/>
  <c r="Z101"/>
  <c r="AJ101"/>
  <c r="AO102"/>
  <c r="AJ102" s="1"/>
  <c r="AN103"/>
  <c r="AI102"/>
  <c r="AO103" l="1"/>
  <c r="AJ103" s="1"/>
  <c r="AN104"/>
  <c r="AI103"/>
  <c r="AO104" l="1"/>
  <c r="AJ104" s="1"/>
  <c r="AI104"/>
  <c r="AN106"/>
  <c r="AN107" l="1"/>
  <c r="AO106"/>
  <c r="AJ106" s="1"/>
  <c r="AI106"/>
  <c r="AN105"/>
  <c r="AI107" l="1"/>
  <c r="AO107"/>
  <c r="AN108"/>
  <c r="AE107" l="1"/>
  <c r="Z107"/>
  <c r="AJ107"/>
  <c r="AO108"/>
  <c r="AJ108" s="1"/>
  <c r="AN109"/>
  <c r="AI108"/>
  <c r="AN111" l="1"/>
  <c r="AO109"/>
  <c r="AJ109" s="1"/>
  <c r="AI109"/>
  <c r="AI111" l="1"/>
  <c r="AO111"/>
  <c r="AN112"/>
  <c r="AN110"/>
  <c r="AN113" l="1"/>
  <c r="AO112"/>
  <c r="AJ112" s="1"/>
  <c r="AI112"/>
  <c r="U111"/>
  <c r="AE111"/>
  <c r="AJ111"/>
  <c r="AI113" l="1"/>
  <c r="AN114"/>
  <c r="AO113"/>
  <c r="Y10"/>
  <c r="A10" s="1"/>
  <c r="Y15"/>
  <c r="A15" s="1"/>
  <c r="AN116" l="1"/>
  <c r="AO114"/>
  <c r="AN115" s="1"/>
  <c r="AI114"/>
  <c r="AE113"/>
  <c r="Z113"/>
  <c r="AJ113"/>
  <c r="AI116" l="1"/>
  <c r="AN118"/>
  <c r="AO116"/>
  <c r="AJ116" s="1"/>
  <c r="AJ114"/>
  <c r="AE114"/>
  <c r="AC10"/>
  <c r="E10" s="1"/>
  <c r="AC9"/>
  <c r="E9" s="1"/>
  <c r="AC15"/>
  <c r="E15" s="1"/>
  <c r="AB10" l="1"/>
  <c r="D10" s="1"/>
  <c r="AB9"/>
  <c r="D9" s="1"/>
  <c r="AB15"/>
  <c r="D15" s="1"/>
  <c r="AA15"/>
  <c r="C15" s="1"/>
  <c r="AA9"/>
  <c r="C9" s="1"/>
  <c r="AA10"/>
  <c r="C10" s="1"/>
  <c r="AI118"/>
  <c r="AO118"/>
  <c r="AN119"/>
  <c r="AN117"/>
  <c r="AN121" l="1"/>
  <c r="AO119"/>
  <c r="AJ119" s="1"/>
  <c r="AI119"/>
  <c r="AE118"/>
  <c r="Z118"/>
  <c r="AJ118"/>
  <c r="AO121" l="1"/>
  <c r="AJ121" s="1"/>
  <c r="AI121"/>
  <c r="AN123"/>
  <c r="Z15"/>
  <c r="B15" s="1"/>
  <c r="Z9"/>
  <c r="B9" s="1"/>
  <c r="Z10"/>
  <c r="B10" s="1"/>
  <c r="AN120"/>
  <c r="AN122" l="1"/>
  <c r="AN124"/>
  <c r="AO123"/>
  <c r="AJ123" s="1"/>
  <c r="AI123"/>
  <c r="AI124" l="1"/>
  <c r="AO124"/>
  <c r="AN125"/>
  <c r="AE124" l="1"/>
  <c r="Z124"/>
  <c r="AJ124"/>
  <c r="AN127"/>
  <c r="AO125"/>
  <c r="AJ125" s="1"/>
  <c r="AI125"/>
  <c r="AO127" l="1"/>
  <c r="AJ127" s="1"/>
  <c r="AN128"/>
  <c r="AI127"/>
  <c r="AN126"/>
  <c r="AI126" s="1"/>
  <c r="AI128" l="1"/>
  <c r="AO128"/>
  <c r="AJ128" s="1"/>
  <c r="AN129"/>
  <c r="AN131" l="1"/>
  <c r="AN130"/>
  <c r="AI130" s="1"/>
  <c r="AO129"/>
  <c r="AJ129" s="1"/>
  <c r="AI129"/>
  <c r="AI131" l="1"/>
  <c r="AN132"/>
  <c r="AO131"/>
  <c r="AJ131" s="1"/>
  <c r="AO132" l="1"/>
  <c r="AI132"/>
  <c r="AN133"/>
  <c r="AJ132" l="1"/>
  <c r="AE132"/>
  <c r="Z132"/>
  <c r="AO133"/>
  <c r="AI133"/>
  <c r="AN135"/>
  <c r="AE133" l="1"/>
  <c r="AJ133"/>
  <c r="AO135"/>
  <c r="AJ135" s="1"/>
  <c r="AN136"/>
  <c r="AI135"/>
  <c r="AN134"/>
  <c r="AI134" s="1"/>
  <c r="AN138" l="1"/>
  <c r="AO136"/>
  <c r="AJ136" s="1"/>
  <c r="AI136"/>
  <c r="AI138" l="1"/>
  <c r="AN140"/>
  <c r="AO138"/>
  <c r="AJ138" s="1"/>
  <c r="AN137"/>
  <c r="AI140" l="1"/>
  <c r="AN141"/>
  <c r="AO140"/>
  <c r="AN139"/>
  <c r="AO141" l="1"/>
  <c r="AI141"/>
  <c r="AN143"/>
  <c r="AE140"/>
  <c r="Z140"/>
  <c r="AJ140"/>
  <c r="AJ141" l="1"/>
  <c r="AE141"/>
  <c r="U141"/>
  <c r="AN145"/>
  <c r="AO143"/>
  <c r="AJ143" s="1"/>
  <c r="AI143"/>
  <c r="AN142"/>
  <c r="AO145" l="1"/>
  <c r="AJ145" s="1"/>
  <c r="AI145"/>
  <c r="AN146"/>
  <c r="AN144"/>
  <c r="AO146" l="1"/>
  <c r="AN147"/>
  <c r="AI146"/>
  <c r="Z146" l="1"/>
  <c r="AJ146"/>
  <c r="AE146"/>
  <c r="AO147"/>
  <c r="AJ147" s="1"/>
  <c r="AN148"/>
  <c r="AI147"/>
  <c r="AI148" l="1"/>
  <c r="AN149"/>
  <c r="AO148"/>
  <c r="AJ148" s="1"/>
  <c r="AO149" l="1"/>
  <c r="AJ149" s="1"/>
  <c r="AN150"/>
  <c r="AI149"/>
  <c r="AN151" l="1"/>
  <c r="AI150"/>
  <c r="AO150"/>
  <c r="AJ150" s="1"/>
  <c r="AI151" l="1"/>
  <c r="AN152"/>
  <c r="AO151"/>
  <c r="AI152" l="1"/>
  <c r="AN153"/>
  <c r="AO152"/>
  <c r="AJ151"/>
  <c r="AE151"/>
  <c r="AO153" l="1"/>
  <c r="AJ153" s="1"/>
  <c r="AN154"/>
  <c r="AI153"/>
  <c r="Z152"/>
  <c r="AJ152"/>
  <c r="AI154" l="1"/>
  <c r="AO154"/>
  <c r="AN155"/>
  <c r="U154" l="1"/>
  <c r="AJ154"/>
  <c r="AE154"/>
  <c r="AO155"/>
  <c r="AJ155" s="1"/>
  <c r="AN156"/>
  <c r="AI155"/>
  <c r="AI156" l="1"/>
  <c r="AN157"/>
  <c r="AO156"/>
  <c r="AJ156" s="1"/>
  <c r="AI157" l="1"/>
  <c r="AN158"/>
  <c r="AO157"/>
  <c r="AJ157" s="1"/>
  <c r="AO158" l="1"/>
  <c r="AN159"/>
  <c r="AI158"/>
  <c r="AJ158" l="1"/>
  <c r="AE158"/>
  <c r="Z158"/>
  <c r="AI159"/>
  <c r="AO159"/>
  <c r="AJ159" s="1"/>
  <c r="AN160"/>
  <c r="AO160" l="1"/>
  <c r="AJ160" s="1"/>
  <c r="AN161"/>
  <c r="AI160"/>
  <c r="AI161" l="1"/>
  <c r="AN163"/>
  <c r="AN162"/>
  <c r="AO161"/>
  <c r="AJ161" s="1"/>
  <c r="AN164" l="1"/>
  <c r="AI163"/>
  <c r="AO163"/>
  <c r="AI164" l="1"/>
  <c r="AO164"/>
  <c r="AN165"/>
  <c r="Z163"/>
  <c r="AE163"/>
  <c r="AJ163"/>
  <c r="AJ164" l="1"/>
  <c r="AE164"/>
  <c r="AO165"/>
  <c r="AJ165" s="1"/>
  <c r="AN166"/>
  <c r="AI165"/>
  <c r="AN168" l="1"/>
  <c r="AI166"/>
  <c r="AO166"/>
  <c r="AJ166" s="1"/>
  <c r="AI168" l="1"/>
  <c r="AO168"/>
  <c r="AJ168" s="1"/>
  <c r="AN169"/>
  <c r="AN167"/>
  <c r="AI167" s="1"/>
  <c r="AO169" l="1"/>
  <c r="AN170"/>
  <c r="AI169"/>
  <c r="AJ169" l="1"/>
  <c r="AE169"/>
  <c r="Z169"/>
  <c r="AI170"/>
  <c r="AO170"/>
  <c r="AJ170" s="1"/>
  <c r="AN171"/>
  <c r="AO171" l="1"/>
  <c r="AJ171" s="1"/>
  <c r="AN173"/>
  <c r="AI171"/>
  <c r="AO173" l="1"/>
  <c r="AJ173" s="1"/>
  <c r="AI173"/>
  <c r="AN174"/>
  <c r="AN172"/>
  <c r="AI174" l="1"/>
  <c r="AN175"/>
  <c r="AO174"/>
  <c r="AO175" l="1"/>
  <c r="AJ175" s="1"/>
  <c r="AI175"/>
  <c r="AN176"/>
  <c r="Z174"/>
  <c r="AE174"/>
  <c r="AJ174"/>
  <c r="AN177" l="1"/>
  <c r="AI177" s="1"/>
  <c r="AO176"/>
  <c r="AJ176" s="1"/>
  <c r="AI176"/>
  <c r="AN178"/>
  <c r="AO179" l="1"/>
  <c r="AO178"/>
  <c r="AJ178" s="1"/>
  <c r="AI178"/>
  <c r="AE179" l="1"/>
  <c r="Z179"/>
  <c r="AJ179"/>
</calcChain>
</file>

<file path=xl/sharedStrings.xml><?xml version="1.0" encoding="utf-8"?>
<sst xmlns="http://schemas.openxmlformats.org/spreadsheetml/2006/main" count="1293" uniqueCount="629">
  <si>
    <t>1/1 =</t>
  </si>
  <si>
    <t>/|</t>
  </si>
  <si>
    <t>\!</t>
  </si>
  <si>
    <t>\\!</t>
  </si>
  <si>
    <t>//|</t>
  </si>
  <si>
    <t>/|)</t>
  </si>
  <si>
    <t>\!)</t>
  </si>
  <si>
    <t>(|\</t>
  </si>
  <si>
    <t>(!/</t>
  </si>
  <si>
    <t xml:space="preserve">FbbCbbGbbDbbAbbEbbBbbFb Cb Gb Db Ab Eb Bb F  C  G  D  A  E  B  F# C# G# D# A# E# B# Fx Cx Gx Dx Ax Ex Bx </t>
  </si>
  <si>
    <t>cents above 1/1</t>
  </si>
  <si>
    <t>cents above C</t>
  </si>
  <si>
    <t>'\!</t>
  </si>
  <si>
    <t>./|</t>
  </si>
  <si>
    <t>|(</t>
  </si>
  <si>
    <t>!(</t>
  </si>
  <si>
    <t>|)</t>
  </si>
  <si>
    <t>!)</t>
  </si>
  <si>
    <t>(|(</t>
  </si>
  <si>
    <t>(!(</t>
  </si>
  <si>
    <t>~|(</t>
  </si>
  <si>
    <t>~!(</t>
  </si>
  <si>
    <t>/|\</t>
  </si>
  <si>
    <t>\!/</t>
  </si>
  <si>
    <t>(|)</t>
  </si>
  <si>
    <t>(!)</t>
  </si>
  <si>
    <t>|~</t>
  </si>
  <si>
    <t>!~</t>
  </si>
  <si>
    <t>~|\</t>
  </si>
  <si>
    <t>~!/</t>
  </si>
  <si>
    <t>~|</t>
  </si>
  <si>
    <t>~!</t>
  </si>
  <si>
    <t>(|</t>
  </si>
  <si>
    <t>(!</t>
  </si>
  <si>
    <t>~|)</t>
  </si>
  <si>
    <t>~!)</t>
  </si>
  <si>
    <t>|\</t>
  </si>
  <si>
    <t>!/</t>
  </si>
  <si>
    <t>)|</t>
  </si>
  <si>
    <t>)!</t>
  </si>
  <si>
    <t>Steps</t>
  </si>
  <si>
    <t>Up</t>
  </si>
  <si>
    <t>Down</t>
  </si>
  <si>
    <t>Cents</t>
  </si>
  <si>
    <t>steps per apotome</t>
  </si>
  <si>
    <t>cents per step</t>
  </si>
  <si>
    <t>)/|</t>
  </si>
  <si>
    <t>)\!</t>
  </si>
  <si>
    <t>cents in apotome</t>
  </si>
  <si>
    <t>cents maximum</t>
  </si>
  <si>
    <t>max./apotome</t>
  </si>
  <si>
    <t>'/|</t>
  </si>
  <si>
    <t>.\!</t>
  </si>
  <si>
    <t>'|</t>
  </si>
  <si>
    <t>.!</t>
  </si>
  <si>
    <t>.(|\</t>
  </si>
  <si>
    <t>'(!/</t>
  </si>
  <si>
    <t>'/|)</t>
  </si>
  <si>
    <t>.\!)</t>
  </si>
  <si>
    <t>|\)</t>
  </si>
  <si>
    <t>)|(</t>
  </si>
  <si>
    <t>)!(</t>
  </si>
  <si>
    <t>'|)</t>
  </si>
  <si>
    <t>.!)</t>
  </si>
  <si>
    <t>(/|</t>
  </si>
  <si>
    <t>(\!</t>
  </si>
  <si>
    <t>'//|</t>
  </si>
  <si>
    <t>.\\!</t>
  </si>
  <si>
    <t>)~|</t>
  </si>
  <si>
    <t>)~!</t>
  </si>
  <si>
    <t>.(|(</t>
  </si>
  <si>
    <t>'(!(</t>
  </si>
  <si>
    <t>'|(</t>
  </si>
  <si>
    <t>.!(</t>
  </si>
  <si>
    <t>')|(</t>
  </si>
  <si>
    <t>.)!(</t>
  </si>
  <si>
    <t>~~|</t>
  </si>
  <si>
    <t>~~!</t>
  </si>
  <si>
    <t>.|)</t>
  </si>
  <si>
    <t>'!)</t>
  </si>
  <si>
    <t>.//|</t>
  </si>
  <si>
    <t>'\\!</t>
  </si>
  <si>
    <t>)|~</t>
  </si>
  <si>
    <t>)!~</t>
  </si>
  <si>
    <t>)|)</t>
  </si>
  <si>
    <t>)!)</t>
  </si>
  <si>
    <t>(|~</t>
  </si>
  <si>
    <t>(!~</t>
  </si>
  <si>
    <t>|\\</t>
  </si>
  <si>
    <t>!//</t>
  </si>
  <si>
    <t>!/)</t>
  </si>
  <si>
    <t>Ratio</t>
  </si>
  <si>
    <t>7C</t>
  </si>
  <si>
    <t>Name</t>
  </si>
  <si>
    <t>19s</t>
  </si>
  <si>
    <t>5s</t>
  </si>
  <si>
    <t>5:7k</t>
  </si>
  <si>
    <t>7:25k</t>
  </si>
  <si>
    <t>7:11k</t>
  </si>
  <si>
    <t>17C</t>
  </si>
  <si>
    <t>23C</t>
  </si>
  <si>
    <t>11:25C</t>
  </si>
  <si>
    <t>5C</t>
  </si>
  <si>
    <t>25C</t>
  </si>
  <si>
    <t>5:7C</t>
  </si>
  <si>
    <t>55C</t>
  </si>
  <si>
    <t>7:11C</t>
  </si>
  <si>
    <t>49S</t>
  </si>
  <si>
    <t>5:11S</t>
  </si>
  <si>
    <t>25S</t>
  </si>
  <si>
    <t>125S</t>
  </si>
  <si>
    <t>35M</t>
  </si>
  <si>
    <t>11M</t>
  </si>
  <si>
    <t>49M</t>
  </si>
  <si>
    <t>5:49M</t>
  </si>
  <si>
    <t>5:49L</t>
  </si>
  <si>
    <t>11L</t>
  </si>
  <si>
    <t>35L</t>
  </si>
  <si>
    <t>7L</t>
  </si>
  <si>
    <t>(|\'</t>
  </si>
  <si>
    <t>(!/.</t>
  </si>
  <si>
    <t>13L</t>
  </si>
  <si>
    <t>(|\.</t>
  </si>
  <si>
    <t>(!/'</t>
  </si>
  <si>
    <t>11:13k</t>
  </si>
  <si>
    <t>17k</t>
  </si>
  <si>
    <t>11:35k</t>
  </si>
  <si>
    <t>1225C</t>
  </si>
  <si>
    <t>|~.</t>
  </si>
  <si>
    <t>!~'</t>
  </si>
  <si>
    <t>245C</t>
  </si>
  <si>
    <t>7:125C</t>
  </si>
  <si>
    <t>5:17C</t>
  </si>
  <si>
    <t>)|(.</t>
  </si>
  <si>
    <t>)!('</t>
  </si>
  <si>
    <t>143C</t>
  </si>
  <si>
    <t>|(..</t>
  </si>
  <si>
    <t>!(''</t>
  </si>
  <si>
    <t>25:49S</t>
  </si>
  <si>
    <t>7:55C</t>
  </si>
  <si>
    <t>17:19k</t>
  </si>
  <si>
    <t>19C</t>
  </si>
  <si>
    <t>13C</t>
  </si>
  <si>
    <t>.|).</t>
  </si>
  <si>
    <t>'!)'</t>
  </si>
  <si>
    <t>5:19C</t>
  </si>
  <si>
    <t>65C</t>
  </si>
  <si>
    <t>7:25C</t>
  </si>
  <si>
    <t>11:49C</t>
  </si>
  <si>
    <t>169C</t>
  </si>
  <si>
    <t>7:19C</t>
  </si>
  <si>
    <t>(|'</t>
  </si>
  <si>
    <t>(!.</t>
  </si>
  <si>
    <t>13:17S</t>
  </si>
  <si>
    <t>(|(..</t>
  </si>
  <si>
    <t>(!(''</t>
  </si>
  <si>
    <t>7:13S</t>
  </si>
  <si>
    <t>(|(.</t>
  </si>
  <si>
    <t>(!('</t>
  </si>
  <si>
    <t>11:17S</t>
  </si>
  <si>
    <t>5:23S</t>
  </si>
  <si>
    <t>/|~</t>
  </si>
  <si>
    <t>\!~</t>
  </si>
  <si>
    <t>11S</t>
  </si>
  <si>
    <t>5:13S</t>
  </si>
  <si>
    <t>//|''</t>
  </si>
  <si>
    <t>\\!..</t>
  </si>
  <si>
    <t>7M</t>
  </si>
  <si>
    <t>13:19S</t>
  </si>
  <si>
    <t>/|).</t>
  </si>
  <si>
    <t>\!)'</t>
  </si>
  <si>
    <t>5:13M</t>
  </si>
  <si>
    <t>125M</t>
  </si>
  <si>
    <t>13M</t>
  </si>
  <si>
    <t>11:19M</t>
  </si>
  <si>
    <t>11:19L</t>
  </si>
  <si>
    <t>Athenian-</t>
  </si>
  <si>
    <t>Promethean-</t>
  </si>
  <si>
    <t>Herculean-</t>
  </si>
  <si>
    <t>Olympian-</t>
  </si>
  <si>
    <t>Level JI</t>
  </si>
  <si>
    <t>Athenian-Level JI Boundaries</t>
  </si>
  <si>
    <t>Promethean-level JI Boundaries</t>
  </si>
  <si>
    <t>Herculean-level JI Boundaries</t>
  </si>
  <si>
    <t>Olympian-level JI Boundaries</t>
  </si>
  <si>
    <t>Comma</t>
  </si>
  <si>
    <t>11:19S</t>
  </si>
  <si>
    <t>23S</t>
  </si>
  <si>
    <t>7:17S</t>
  </si>
  <si>
    <t>./|\'</t>
  </si>
  <si>
    <t>'\!/.</t>
  </si>
  <si>
    <t>11:17M</t>
  </si>
  <si>
    <t>'|(.</t>
  </si>
  <si>
    <t>.!('</t>
  </si>
  <si>
    <t>5:23M</t>
  </si>
  <si>
    <t>/|\..</t>
  </si>
  <si>
    <t>\!/''</t>
  </si>
  <si>
    <t>5:11M</t>
  </si>
  <si>
    <t>./|\</t>
  </si>
  <si>
    <t>'\!/</t>
  </si>
  <si>
    <t>11:13C</t>
  </si>
  <si>
    <t>|)''</t>
  </si>
  <si>
    <t>!)..</t>
  </si>
  <si>
    <t>~~|''</t>
  </si>
  <si>
    <t>~~!..</t>
  </si>
  <si>
    <t>11:23S</t>
  </si>
  <si>
    <t>625L</t>
  </si>
  <si>
    <t>.(|\.</t>
  </si>
  <si>
    <t>'(!/'</t>
  </si>
  <si>
    <t>|)'</t>
  </si>
  <si>
    <t>!).</t>
  </si>
  <si>
    <t>13:25C</t>
  </si>
  <si>
    <t>/|''</t>
  </si>
  <si>
    <t>\!..</t>
  </si>
  <si>
    <t>17:25S</t>
  </si>
  <si>
    <t>(/|'</t>
  </si>
  <si>
    <t>(\!.</t>
  </si>
  <si>
    <t>(|''</t>
  </si>
  <si>
    <t>(!..</t>
  </si>
  <si>
    <t>19:25C</t>
  </si>
  <si>
    <t>175S</t>
  </si>
  <si>
    <t>//|'</t>
  </si>
  <si>
    <t>\\!.</t>
  </si>
  <si>
    <t>\\!'</t>
  </si>
  <si>
    <t>//|.</t>
  </si>
  <si>
    <t>2401C</t>
  </si>
  <si>
    <t>77s</t>
  </si>
  <si>
    <t>'|'</t>
  </si>
  <si>
    <t>.!.</t>
  </si>
  <si>
    <t>77C</t>
  </si>
  <si>
    <t>.|)'</t>
  </si>
  <si>
    <t>'!).</t>
  </si>
  <si>
    <t>|'</t>
  </si>
  <si>
    <t>!.</t>
  </si>
  <si>
    <t>|''</t>
  </si>
  <si>
    <t>!..</t>
  </si>
  <si>
    <t>.(|)</t>
  </si>
  <si>
    <t>'(!)</t>
  </si>
  <si>
    <t>.~|(</t>
  </si>
  <si>
    <t>'~!(</t>
  </si>
  <si>
    <t>|).</t>
  </si>
  <si>
    <t>!)'</t>
  </si>
  <si>
    <t>~|(..</t>
  </si>
  <si>
    <t>~!(''</t>
  </si>
  <si>
    <t>~|(.</t>
  </si>
  <si>
    <t>~!('</t>
  </si>
  <si>
    <t>125L</t>
  </si>
  <si>
    <t>|~..</t>
  </si>
  <si>
    <t>!~''</t>
  </si>
  <si>
    <t>343k</t>
  </si>
  <si>
    <t>7:143C</t>
  </si>
  <si>
    <t>)|('</t>
  </si>
  <si>
    <t>)!(.</t>
  </si>
  <si>
    <t>)|(''</t>
  </si>
  <si>
    <t>)!(..</t>
  </si>
  <si>
    <t>1715C</t>
  </si>
  <si>
    <t>.~|('</t>
  </si>
  <si>
    <t>'~!(.</t>
  </si>
  <si>
    <t>95C</t>
  </si>
  <si>
    <t>~~|'</t>
  </si>
  <si>
    <t>~~!.</t>
  </si>
  <si>
    <t>|~'</t>
  </si>
  <si>
    <t>!~.</t>
  </si>
  <si>
    <t>91C</t>
  </si>
  <si>
    <t>/|.</t>
  </si>
  <si>
    <t>\!'</t>
  </si>
  <si>
    <t>/|..</t>
  </si>
  <si>
    <t>\!''</t>
  </si>
  <si>
    <t>1C</t>
  </si>
  <si>
    <t>455n</t>
  </si>
  <si>
    <t>65:77n</t>
  </si>
  <si>
    <t>)|.</t>
  </si>
  <si>
    <t>)!'</t>
  </si>
  <si>
    <t>)|'</t>
  </si>
  <si>
    <t>)!.</t>
  </si>
  <si>
    <t>)|''</t>
  </si>
  <si>
    <t>)!..</t>
  </si>
  <si>
    <t>|(.</t>
  </si>
  <si>
    <t>!('</t>
  </si>
  <si>
    <t>|('</t>
  </si>
  <si>
    <t>!(.</t>
  </si>
  <si>
    <t>')|(.</t>
  </si>
  <si>
    <t>.)!('</t>
  </si>
  <si>
    <t>~|('</t>
  </si>
  <si>
    <t>./|.</t>
  </si>
  <si>
    <t>'\!'</t>
  </si>
  <si>
    <t>/|'</t>
  </si>
  <si>
    <t>\!.</t>
  </si>
  <si>
    <t>.\!.</t>
  </si>
  <si>
    <t>'/|'</t>
  </si>
  <si>
    <t>)/|.</t>
  </si>
  <si>
    <t>)\!'</t>
  </si>
  <si>
    <t>|)..</t>
  </si>
  <si>
    <t>!)''</t>
  </si>
  <si>
    <t>'|).</t>
  </si>
  <si>
    <t>.!)'</t>
  </si>
  <si>
    <t>)!)'</t>
  </si>
  <si>
    <t>|\'</t>
  </si>
  <si>
    <t>!/.</t>
  </si>
  <si>
    <t>(|.</t>
  </si>
  <si>
    <t>(!'</t>
  </si>
  <si>
    <t>~|).</t>
  </si>
  <si>
    <t>~!)'</t>
  </si>
  <si>
    <t>~|)'</t>
  </si>
  <si>
    <t>~!).</t>
  </si>
  <si>
    <t>.(|(.</t>
  </si>
  <si>
    <t>'(!('</t>
  </si>
  <si>
    <t>(|('</t>
  </si>
  <si>
    <t>(!(.</t>
  </si>
  <si>
    <t>//|..</t>
  </si>
  <si>
    <t>\\!''</t>
  </si>
  <si>
    <t>.//|'</t>
  </si>
  <si>
    <t>'\\!.</t>
  </si>
  <si>
    <t>.//|.</t>
  </si>
  <si>
    <t>'\\!'</t>
  </si>
  <si>
    <t>'//|.</t>
  </si>
  <si>
    <t>.\\!'</t>
  </si>
  <si>
    <t>'//|'</t>
  </si>
  <si>
    <t>.\\!.</t>
  </si>
  <si>
    <t>13:25M</t>
  </si>
  <si>
    <t>/|)..</t>
  </si>
  <si>
    <t>\!)''</t>
  </si>
  <si>
    <t>/|\.</t>
  </si>
  <si>
    <t>\!/'</t>
  </si>
  <si>
    <t>/|\'</t>
  </si>
  <si>
    <t>\!/.</t>
  </si>
  <si>
    <t>55L</t>
  </si>
  <si>
    <t>.(|).</t>
  </si>
  <si>
    <t>'(!)'</t>
  </si>
  <si>
    <t>11:85L</t>
  </si>
  <si>
    <t>11:17L</t>
  </si>
  <si>
    <t>65L</t>
  </si>
  <si>
    <t>'/|).</t>
  </si>
  <si>
    <t>.\!)'</t>
  </si>
  <si>
    <t>/|)'</t>
  </si>
  <si>
    <t>\!).</t>
  </si>
  <si>
    <t>245S</t>
  </si>
  <si>
    <t>625M</t>
  </si>
  <si>
    <t>'/|)'</t>
  </si>
  <si>
    <t>.\!).</t>
  </si>
  <si>
    <t>5:11L</t>
  </si>
  <si>
    <t>'(|)</t>
  </si>
  <si>
    <t>.(!)</t>
  </si>
  <si>
    <t>35S</t>
  </si>
  <si>
    <t>~!(.</t>
  </si>
  <si>
    <t>'|('</t>
  </si>
  <si>
    <t>.!(.</t>
  </si>
  <si>
    <t>'/|\</t>
  </si>
  <si>
    <t>5:19n</t>
  </si>
  <si>
    <t>1n</t>
  </si>
  <si>
    <t>385k</t>
  </si>
  <si>
    <t>49:55s</t>
  </si>
  <si>
    <t>49L</t>
  </si>
  <si>
    <t>121k</t>
  </si>
  <si>
    <t>5:77C</t>
  </si>
  <si>
    <t>|\).</t>
  </si>
  <si>
    <t>!/)'</t>
  </si>
  <si>
    <t>'(|).</t>
  </si>
  <si>
    <t>.(!)'</t>
  </si>
  <si>
    <t>17:23C</t>
  </si>
  <si>
    <t>13:25L</t>
  </si>
  <si>
    <t>85k</t>
  </si>
  <si>
    <t>25:77M</t>
  </si>
  <si>
    <t>5:13L</t>
  </si>
  <si>
    <t>'|)'</t>
  </si>
  <si>
    <t>.!).</t>
  </si>
  <si>
    <t>3125C</t>
  </si>
  <si>
    <t>5:343k</t>
  </si>
  <si>
    <t>275k</t>
  </si>
  <si>
    <t>875C</t>
  </si>
  <si>
    <t>11:65C</t>
  </si>
  <si>
    <t>25:343C</t>
  </si>
  <si>
    <t>11:85C</t>
  </si>
  <si>
    <t>475S</t>
  </si>
  <si>
    <t>17:49S</t>
  </si>
  <si>
    <t>11:85M</t>
  </si>
  <si>
    <t>7:65M</t>
  </si>
  <si>
    <t>(|).</t>
  </si>
  <si>
    <t>(!)'</t>
  </si>
  <si>
    <t>55M</t>
  </si>
  <si>
    <t>)|).</t>
  </si>
  <si>
    <t>175M</t>
  </si>
  <si>
    <t>)//|.</t>
  </si>
  <si>
    <t>)//|</t>
  </si>
  <si>
    <t>)\\!'</t>
  </si>
  <si>
    <t>)\\!</t>
  </si>
  <si>
    <t>)|\\</t>
  </si>
  <si>
    <t>)!//</t>
  </si>
  <si>
    <t>)|\\'</t>
  </si>
  <si>
    <t>)!//.</t>
  </si>
  <si>
    <t>.\!/</t>
  </si>
  <si>
    <t>C</t>
  </si>
  <si>
    <t>.)|..</t>
  </si>
  <si>
    <t>')!''</t>
  </si>
  <si>
    <t>25:2401n</t>
  </si>
  <si>
    <t>.)|</t>
  </si>
  <si>
    <t>')!</t>
  </si>
  <si>
    <t>91s</t>
  </si>
  <si>
    <t>)|..</t>
  </si>
  <si>
    <t>)!''</t>
  </si>
  <si>
    <t>19:4375s</t>
  </si>
  <si>
    <t>11:31k</t>
  </si>
  <si>
    <t>.~|..</t>
  </si>
  <si>
    <t>'~!''</t>
  </si>
  <si>
    <t>49:3125k</t>
  </si>
  <si>
    <t>.~|</t>
  </si>
  <si>
    <t>'~!</t>
  </si>
  <si>
    <t>.~|'</t>
  </si>
  <si>
    <t>'~!.</t>
  </si>
  <si>
    <t>1225k</t>
  </si>
  <si>
    <t>~|..</t>
  </si>
  <si>
    <t>~!''</t>
  </si>
  <si>
    <t>49:625k</t>
  </si>
  <si>
    <t>15625k</t>
  </si>
  <si>
    <t>~|.</t>
  </si>
  <si>
    <t>~!'</t>
  </si>
  <si>
    <t>)|(..</t>
  </si>
  <si>
    <t>)!(''</t>
  </si>
  <si>
    <t>49:65k</t>
  </si>
  <si>
    <t>14641k</t>
  </si>
  <si>
    <t>~|''</t>
  </si>
  <si>
    <t>~!..</t>
  </si>
  <si>
    <t>7:125k</t>
  </si>
  <si>
    <t>13:49k</t>
  </si>
  <si>
    <t>8575k</t>
  </si>
  <si>
    <t>)~|..</t>
  </si>
  <si>
    <t>)~!''</t>
  </si>
  <si>
    <t>)~|.</t>
  </si>
  <si>
    <t>)~!'</t>
  </si>
  <si>
    <t>11:35C</t>
  </si>
  <si>
    <t>)~|'</t>
  </si>
  <si>
    <t>)~!.</t>
  </si>
  <si>
    <t>13:49C</t>
  </si>
  <si>
    <t>)~|''</t>
  </si>
  <si>
    <t>)~!..</t>
  </si>
  <si>
    <t>11:23C</t>
  </si>
  <si>
    <t>.~|(''</t>
  </si>
  <si>
    <t>'~!(..</t>
  </si>
  <si>
    <t>43C</t>
  </si>
  <si>
    <t>.|~</t>
  </si>
  <si>
    <t>'!~</t>
  </si>
  <si>
    <t>7:13C</t>
  </si>
  <si>
    <t>~|(''</t>
  </si>
  <si>
    <t>~!(..</t>
  </si>
  <si>
    <t>5:11C</t>
  </si>
  <si>
    <t>'~|(.</t>
  </si>
  <si>
    <t>.~!('</t>
  </si>
  <si>
    <t>121C</t>
  </si>
  <si>
    <t>'~|(</t>
  </si>
  <si>
    <t>.~!(</t>
  </si>
  <si>
    <t>13:35C</t>
  </si>
  <si>
    <t>|~''</t>
  </si>
  <si>
    <t>!~..</t>
  </si>
  <si>
    <t>11:31C</t>
  </si>
  <si>
    <t>.)|~</t>
  </si>
  <si>
    <t>')!~</t>
  </si>
  <si>
    <t>7:17C</t>
  </si>
  <si>
    <t>'|~'</t>
  </si>
  <si>
    <t>.!~.</t>
  </si>
  <si>
    <t>5:91C</t>
  </si>
  <si>
    <t>'~~|</t>
  </si>
  <si>
    <t>.~~!</t>
  </si>
  <si>
    <t>49:55C</t>
  </si>
  <si>
    <t>./|'</t>
  </si>
  <si>
    <t>'\!.</t>
  </si>
  <si>
    <t>11:29C</t>
  </si>
  <si>
    <t>253C</t>
  </si>
  <si>
    <t>)|~''</t>
  </si>
  <si>
    <t>)!~..</t>
  </si>
  <si>
    <t>5:2401C</t>
  </si>
  <si>
    <t>')|~'</t>
  </si>
  <si>
    <t>.)!~.</t>
  </si>
  <si>
    <t>13:77C</t>
  </si>
  <si>
    <t>.)/|</t>
  </si>
  <si>
    <t>')\!</t>
  </si>
  <si>
    <t>4375C</t>
  </si>
  <si>
    <t>)/|..</t>
  </si>
  <si>
    <t>)\!''</t>
  </si>
  <si>
    <t>13:125C</t>
  </si>
  <si>
    <t>)/|'</t>
  </si>
  <si>
    <t>)\!.</t>
  </si>
  <si>
    <t>35C</t>
  </si>
  <si>
    <t>625C</t>
  </si>
  <si>
    <t>.)|)..</t>
  </si>
  <si>
    <t>')!)''</t>
  </si>
  <si>
    <t>325C</t>
  </si>
  <si>
    <t>)|)..</t>
  </si>
  <si>
    <t>)!)..</t>
  </si>
  <si>
    <t>5:343C</t>
  </si>
  <si>
    <t>.(|</t>
  </si>
  <si>
    <t>'(!</t>
  </si>
  <si>
    <t>.(|'</t>
  </si>
  <si>
    <t>15625C</t>
  </si>
  <si>
    <t>11:91C</t>
  </si>
  <si>
    <t>(|..</t>
  </si>
  <si>
    <t>(!''</t>
  </si>
  <si>
    <t>53C</t>
  </si>
  <si>
    <t>23:125C</t>
  </si>
  <si>
    <t>'|\.</t>
  </si>
  <si>
    <t>.!/'</t>
  </si>
  <si>
    <t>7:3125C</t>
  </si>
  <si>
    <t>.~|)</t>
  </si>
  <si>
    <t>'~!)</t>
  </si>
  <si>
    <t>5:49S</t>
  </si>
  <si>
    <t>'(|.</t>
  </si>
  <si>
    <t>.(!'</t>
  </si>
  <si>
    <t>7:247S</t>
  </si>
  <si>
    <t>'(|</t>
  </si>
  <si>
    <t>.(!</t>
  </si>
  <si>
    <t>31S</t>
  </si>
  <si>
    <t>5:17S</t>
  </si>
  <si>
    <t>~|)''</t>
  </si>
  <si>
    <t>~!)..</t>
  </si>
  <si>
    <t>47S</t>
  </si>
  <si>
    <t>'~|)</t>
  </si>
  <si>
    <t>.~!)</t>
  </si>
  <si>
    <t>'(|(.</t>
  </si>
  <si>
    <t>.(!('</t>
  </si>
  <si>
    <t>25:91S</t>
  </si>
  <si>
    <t>'(|(</t>
  </si>
  <si>
    <t>.(!(</t>
  </si>
  <si>
    <t>11:25S</t>
  </si>
  <si>
    <t>5:91S</t>
  </si>
  <si>
    <t>)//|'</t>
  </si>
  <si>
    <t>)\\!.</t>
  </si>
  <si>
    <t>)//|''</t>
  </si>
  <si>
    <t>)\\!..</t>
  </si>
  <si>
    <t>37M</t>
  </si>
  <si>
    <t>11:325M</t>
  </si>
  <si>
    <t>(|~.</t>
  </si>
  <si>
    <t>(!~'</t>
  </si>
  <si>
    <t>125:343M</t>
  </si>
  <si>
    <t>65M</t>
  </si>
  <si>
    <t>7:275M</t>
  </si>
  <si>
    <t>.(/|'</t>
  </si>
  <si>
    <t>'(\!'</t>
  </si>
  <si>
    <t>3125M</t>
  </si>
  <si>
    <t>(/|.</t>
  </si>
  <si>
    <t>(\!'</t>
  </si>
  <si>
    <t>31M</t>
  </si>
  <si>
    <t>'/|\'</t>
  </si>
  <si>
    <t>.\!/.</t>
  </si>
  <si>
    <t>11:91M</t>
  </si>
  <si>
    <t>)/|\.</t>
  </si>
  <si>
    <t>)\!/'</t>
  </si>
  <si>
    <t>595M</t>
  </si>
  <si>
    <t>)/|\</t>
  </si>
  <si>
    <t>)\!/</t>
  </si>
  <si>
    <t>)/|\'</t>
  </si>
  <si>
    <t>)\!/.</t>
  </si>
  <si>
    <t>)/|\''</t>
  </si>
  <si>
    <t>)\!/..</t>
  </si>
  <si>
    <t>595L</t>
  </si>
  <si>
    <t>11:91L</t>
  </si>
  <si>
    <t>31L</t>
  </si>
  <si>
    <t>|\)'</t>
  </si>
  <si>
    <t>!/).</t>
  </si>
  <si>
    <t>7:65L</t>
  </si>
  <si>
    <t>'|\).</t>
  </si>
  <si>
    <t>.!/)'</t>
  </si>
  <si>
    <t>3125L</t>
  </si>
  <si>
    <t>(|)'</t>
  </si>
  <si>
    <t>(!).</t>
  </si>
  <si>
    <t>7:275L</t>
  </si>
  <si>
    <t>(|)''</t>
  </si>
  <si>
    <t>(!)..</t>
  </si>
  <si>
    <t>5:23L</t>
  </si>
  <si>
    <t>.(|\'</t>
  </si>
  <si>
    <t>'(!/.</t>
  </si>
  <si>
    <t>|\\'</t>
  </si>
  <si>
    <t>!//.</t>
  </si>
  <si>
    <t>125:343L</t>
  </si>
  <si>
    <t>(|\''</t>
  </si>
  <si>
    <t>(!/..</t>
  </si>
  <si>
    <t>11:325L</t>
  </si>
  <si>
    <t>)|\\..</t>
  </si>
  <si>
    <t>)!//''</t>
  </si>
  <si>
    <t>37L</t>
  </si>
  <si>
    <t>)|\\.</t>
  </si>
  <si>
    <t>)!//'</t>
  </si>
  <si>
    <t>175L</t>
  </si>
  <si>
    <t>cents per step (approx.)</t>
  </si>
  <si>
    <t>Athenian-level prime limit:</t>
  </si>
  <si>
    <t>'(!.</t>
  </si>
  <si>
    <t>Exponent:</t>
  </si>
  <si>
    <t>Prime:</t>
  </si>
  <si>
    <t>Sagittal Notation Just Intonation Symbol Calculator</t>
  </si>
  <si>
    <t>Precision</t>
  </si>
  <si>
    <t>Resolution</t>
  </si>
  <si>
    <t>Athenian</t>
  </si>
  <si>
    <t>Medium</t>
  </si>
  <si>
    <t>JI Level</t>
  </si>
  <si>
    <t>Promethean</t>
  </si>
  <si>
    <t>High</t>
  </si>
  <si>
    <t>~1.96 cents</t>
  </si>
  <si>
    <t>Herculean</t>
  </si>
  <si>
    <t>Olympian</t>
  </si>
  <si>
    <t>Extreme</t>
  </si>
  <si>
    <t>~0.49 cents</t>
  </si>
  <si>
    <t>~2.42 cents</t>
  </si>
  <si>
    <t>~5.41 cents</t>
  </si>
  <si>
    <t>none</t>
  </si>
  <si>
    <t>left &amp; right</t>
  </si>
  <si>
    <t>Prometh.</t>
  </si>
  <si>
    <t>JI Symbol Calculation</t>
  </si>
  <si>
    <t>left only</t>
  </si>
  <si>
    <t>Accents</t>
  </si>
  <si>
    <t>alteration</t>
  </si>
  <si>
    <t>Pitch is</t>
  </si>
  <si>
    <t>cents above 1/1, or</t>
  </si>
  <si>
    <t>&lt;== Enter name of a pitch in pythagorean relationship to C</t>
  </si>
  <si>
    <t>Enter 5, 7, 11, or 13</t>
  </si>
  <si>
    <t>Comma size</t>
  </si>
  <si>
    <t>625S</t>
  </si>
  <si>
    <t>~|\..</t>
  </si>
  <si>
    <t>~!/''</t>
  </si>
  <si>
    <t>~|\.</t>
  </si>
  <si>
    <t>~!/'</t>
  </si>
  <si>
    <t>1001S</t>
  </si>
  <si>
    <t>S-olympian-</t>
  </si>
  <si>
    <t>Super-olympian JI Boundaries</t>
  </si>
  <si>
    <t>Enter prime factor exponents in the cyan-colored cells</t>
  </si>
  <si>
    <t>S-olympian</t>
  </si>
  <si>
    <t>Extreme+</t>
  </si>
  <si>
    <t>0.24-0.49 c</t>
  </si>
  <si>
    <t>Super-olympian</t>
  </si>
  <si>
    <t>Symbol</t>
  </si>
  <si>
    <t>Super-olympian Symbol Definitions</t>
  </si>
  <si>
    <t>Symbol Defaults</t>
  </si>
</sst>
</file>

<file path=xl/styles.xml><?xml version="1.0" encoding="utf-8"?>
<styleSheet xmlns="http://schemas.openxmlformats.org/spreadsheetml/2006/main">
  <numFmts count="3">
    <numFmt numFmtId="173" formatCode="0.000"/>
    <numFmt numFmtId="175" formatCode="0.00000"/>
    <numFmt numFmtId="183" formatCode="[&lt;&gt;0]General"/>
  </numFmts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b/>
      <sz val="10"/>
      <name val="Courier New"/>
      <family val="3"/>
    </font>
    <font>
      <b/>
      <sz val="8"/>
      <name val="Arial"/>
      <family val="2"/>
    </font>
    <font>
      <b/>
      <sz val="8"/>
      <name val="Arial Narrow"/>
      <family val="2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quotePrefix="1" applyFont="1" applyBorder="1" applyAlignment="1">
      <alignment horizontal="center"/>
    </xf>
    <xf numFmtId="0" fontId="0" fillId="0" borderId="0" xfId="0" applyBorder="1"/>
    <xf numFmtId="173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Border="1" applyAlignment="1">
      <alignment horizontal="left"/>
    </xf>
    <xf numFmtId="0" fontId="0" fillId="0" borderId="4" xfId="0" applyBorder="1"/>
    <xf numFmtId="0" fontId="0" fillId="0" borderId="0" xfId="0" applyBorder="1" applyAlignment="1">
      <alignment horizontal="center"/>
    </xf>
    <xf numFmtId="1" fontId="1" fillId="0" borderId="0" xfId="0" applyNumberFormat="1" applyFont="1" applyBorder="1"/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3" fillId="0" borderId="0" xfId="0" applyFont="1" applyBorder="1" applyAlignment="1">
      <alignment horizontal="center"/>
    </xf>
    <xf numFmtId="0" fontId="0" fillId="0" borderId="6" xfId="0" applyBorder="1"/>
    <xf numFmtId="0" fontId="1" fillId="0" borderId="3" xfId="0" applyFont="1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73" fontId="2" fillId="0" borderId="1" xfId="0" applyNumberFormat="1" applyFont="1" applyBorder="1" applyAlignment="1">
      <alignment horizontal="right"/>
    </xf>
    <xf numFmtId="173" fontId="2" fillId="0" borderId="3" xfId="0" applyNumberFormat="1" applyFont="1" applyBorder="1" applyAlignment="1">
      <alignment horizontal="right"/>
    </xf>
    <xf numFmtId="173" fontId="2" fillId="0" borderId="7" xfId="0" applyNumberFormat="1" applyFont="1" applyBorder="1" applyAlignment="1">
      <alignment horizontal="right"/>
    </xf>
    <xf numFmtId="173" fontId="2" fillId="0" borderId="5" xfId="0" applyNumberFormat="1" applyFont="1" applyBorder="1"/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7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0" fontId="0" fillId="0" borderId="0" xfId="0" applyAlignment="1">
      <alignment horizontal="right"/>
    </xf>
    <xf numFmtId="1" fontId="1" fillId="0" borderId="3" xfId="0" applyNumberFormat="1" applyFont="1" applyBorder="1" applyAlignment="1">
      <alignment horizontal="center"/>
    </xf>
    <xf numFmtId="0" fontId="0" fillId="0" borderId="0" xfId="0" quotePrefix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4" borderId="9" xfId="0" applyFont="1" applyFill="1" applyBorder="1"/>
    <xf numFmtId="0" fontId="5" fillId="4" borderId="10" xfId="0" applyFont="1" applyFill="1" applyBorder="1"/>
    <xf numFmtId="0" fontId="5" fillId="4" borderId="11" xfId="0" applyFont="1" applyFill="1" applyBorder="1"/>
    <xf numFmtId="173" fontId="2" fillId="0" borderId="0" xfId="0" applyNumberFormat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5" borderId="9" xfId="0" applyFont="1" applyFill="1" applyBorder="1"/>
    <xf numFmtId="0" fontId="5" fillId="5" borderId="10" xfId="0" applyFont="1" applyFill="1" applyBorder="1"/>
    <xf numFmtId="0" fontId="5" fillId="5" borderId="11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1" fillId="0" borderId="2" xfId="0" applyNumberFormat="1" applyFont="1" applyBorder="1"/>
    <xf numFmtId="173" fontId="2" fillId="0" borderId="3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5" fontId="2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75" fontId="2" fillId="0" borderId="5" xfId="0" applyNumberFormat="1" applyFont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3" xfId="0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center"/>
    </xf>
    <xf numFmtId="173" fontId="2" fillId="0" borderId="3" xfId="0" applyNumberFormat="1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1" xfId="0" applyFont="1" applyBorder="1"/>
    <xf numFmtId="0" fontId="0" fillId="0" borderId="12" xfId="0" applyBorder="1"/>
    <xf numFmtId="173" fontId="2" fillId="0" borderId="1" xfId="0" applyNumberFormat="1" applyFont="1" applyBorder="1"/>
    <xf numFmtId="173" fontId="2" fillId="0" borderId="0" xfId="0" applyNumberFormat="1" applyFont="1"/>
    <xf numFmtId="0" fontId="6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right"/>
    </xf>
    <xf numFmtId="0" fontId="6" fillId="0" borderId="0" xfId="0" applyFont="1" applyAlignment="1">
      <alignment horizontal="center"/>
    </xf>
    <xf numFmtId="0" fontId="5" fillId="6" borderId="9" xfId="0" applyFont="1" applyFill="1" applyBorder="1"/>
    <xf numFmtId="0" fontId="5" fillId="6" borderId="10" xfId="0" applyFont="1" applyFill="1" applyBorder="1"/>
    <xf numFmtId="0" fontId="5" fillId="6" borderId="11" xfId="0" applyFont="1" applyFill="1" applyBorder="1"/>
    <xf numFmtId="0" fontId="4" fillId="7" borderId="13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>
      <alignment horizontal="right"/>
    </xf>
    <xf numFmtId="0" fontId="2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15" xfId="0" applyBorder="1"/>
    <xf numFmtId="0" fontId="6" fillId="6" borderId="14" xfId="0" applyFont="1" applyFill="1" applyBorder="1" applyAlignment="1">
      <alignment horizontal="left"/>
    </xf>
    <xf numFmtId="0" fontId="0" fillId="6" borderId="15" xfId="0" applyFill="1" applyBorder="1"/>
    <xf numFmtId="0" fontId="6" fillId="0" borderId="13" xfId="0" applyFont="1" applyBorder="1" applyAlignment="1">
      <alignment horizontal="left"/>
    </xf>
    <xf numFmtId="0" fontId="1" fillId="0" borderId="15" xfId="0" applyFont="1" applyFill="1" applyBorder="1"/>
    <xf numFmtId="0" fontId="0" fillId="5" borderId="15" xfId="0" applyFill="1" applyBorder="1"/>
    <xf numFmtId="0" fontId="0" fillId="2" borderId="15" xfId="0" applyFill="1" applyBorder="1"/>
    <xf numFmtId="0" fontId="0" fillId="4" borderId="15" xfId="0" applyFill="1" applyBorder="1"/>
    <xf numFmtId="0" fontId="6" fillId="4" borderId="14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0" fillId="5" borderId="2" xfId="0" applyFill="1" applyBorder="1"/>
    <xf numFmtId="0" fontId="0" fillId="4" borderId="8" xfId="0" applyFill="1" applyBorder="1"/>
    <xf numFmtId="0" fontId="6" fillId="2" borderId="14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0" fillId="3" borderId="15" xfId="0" applyFill="1" applyBorder="1"/>
    <xf numFmtId="0" fontId="6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6" fillId="5" borderId="14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6" xfId="0" applyFont="1" applyBorder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173" fontId="4" fillId="5" borderId="0" xfId="0" applyNumberFormat="1" applyFont="1" applyFill="1" applyBorder="1" applyAlignment="1">
      <alignment horizontal="center"/>
    </xf>
    <xf numFmtId="0" fontId="3" fillId="5" borderId="4" xfId="0" quotePrefix="1" applyFont="1" applyFill="1" applyBorder="1" applyAlignment="1">
      <alignment horizontal="center"/>
    </xf>
    <xf numFmtId="0" fontId="4" fillId="5" borderId="0" xfId="0" quotePrefix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73" fontId="4" fillId="2" borderId="0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quotePrefix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73" fontId="4" fillId="4" borderId="0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3" fillId="4" borderId="4" xfId="0" quotePrefix="1" applyFont="1" applyFill="1" applyBorder="1" applyAlignment="1">
      <alignment horizontal="center"/>
    </xf>
    <xf numFmtId="173" fontId="1" fillId="4" borderId="0" xfId="0" applyNumberFormat="1" applyFont="1" applyFill="1" applyBorder="1" applyAlignment="1">
      <alignment horizontal="center"/>
    </xf>
    <xf numFmtId="183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/>
    <xf numFmtId="0" fontId="4" fillId="5" borderId="0" xfId="0" quotePrefix="1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1" fillId="0" borderId="0" xfId="0" applyFont="1"/>
    <xf numFmtId="0" fontId="3" fillId="5" borderId="0" xfId="0" quotePrefix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2" borderId="0" xfId="0" applyFill="1"/>
    <xf numFmtId="0" fontId="3" fillId="2" borderId="0" xfId="0" quotePrefix="1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0" fillId="4" borderId="0" xfId="0" applyFill="1"/>
    <xf numFmtId="0" fontId="3" fillId="4" borderId="0" xfId="0" quotePrefix="1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173" fontId="4" fillId="3" borderId="0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4" xfId="0" quotePrefix="1" applyFont="1" applyFill="1" applyBorder="1" applyAlignment="1">
      <alignment horizontal="center"/>
    </xf>
    <xf numFmtId="0" fontId="3" fillId="3" borderId="0" xfId="0" quotePrefix="1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173" fontId="1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4" fillId="3" borderId="0" xfId="0" quotePrefix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0" fontId="4" fillId="3" borderId="0" xfId="0" quotePrefix="1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" fontId="1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1" fontId="0" fillId="3" borderId="0" xfId="0" applyNumberForma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6" borderId="0" xfId="0" applyFill="1" applyBorder="1" applyAlignment="1">
      <alignment horizontal="center"/>
    </xf>
    <xf numFmtId="173" fontId="1" fillId="6" borderId="0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4" xfId="0" quotePrefix="1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1" fontId="1" fillId="6" borderId="0" xfId="0" applyNumberFormat="1" applyFont="1" applyFill="1" applyBorder="1" applyAlignment="1">
      <alignment horizontal="center"/>
    </xf>
    <xf numFmtId="183" fontId="1" fillId="6" borderId="0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173" fontId="4" fillId="6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183" fontId="0" fillId="6" borderId="0" xfId="0" applyNumberForma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8" fillId="6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8"/>
  <sheetViews>
    <sheetView tabSelected="1" workbookViewId="0">
      <pane ySplit="19" topLeftCell="A20" activePane="bottomLeft" state="frozen"/>
      <selection pane="bottomLeft" activeCell="B3" sqref="B3"/>
    </sheetView>
  </sheetViews>
  <sheetFormatPr defaultColWidth="7.7109375" defaultRowHeight="12.75"/>
  <cols>
    <col min="1" max="3" width="8.7109375" customWidth="1"/>
    <col min="4" max="5" width="9.5703125" customWidth="1"/>
    <col min="6" max="6" width="6.140625" customWidth="1"/>
    <col min="7" max="17" width="4.7109375" customWidth="1"/>
    <col min="18" max="18" width="4.5703125" customWidth="1"/>
  </cols>
  <sheetData>
    <row r="1" spans="1:48">
      <c r="A1" s="76" t="s">
        <v>586</v>
      </c>
      <c r="G1" s="76" t="s">
        <v>621</v>
      </c>
    </row>
    <row r="2" spans="1:48">
      <c r="A2" s="95" t="s">
        <v>585</v>
      </c>
      <c r="B2" s="93">
        <v>3</v>
      </c>
      <c r="C2" s="93">
        <v>5</v>
      </c>
      <c r="D2" s="93">
        <v>7</v>
      </c>
      <c r="E2" s="93">
        <v>11</v>
      </c>
      <c r="F2" s="93">
        <v>13</v>
      </c>
      <c r="G2" s="93">
        <v>17</v>
      </c>
      <c r="H2" s="93">
        <v>19</v>
      </c>
      <c r="I2" s="93">
        <v>23</v>
      </c>
      <c r="J2" s="93">
        <v>29</v>
      </c>
      <c r="K2" s="93">
        <v>31</v>
      </c>
      <c r="L2" s="93">
        <v>37</v>
      </c>
      <c r="M2" s="93">
        <v>41</v>
      </c>
      <c r="N2" s="94">
        <v>43</v>
      </c>
      <c r="O2" s="94">
        <v>47</v>
      </c>
      <c r="P2" s="94">
        <v>53</v>
      </c>
      <c r="Q2" s="94">
        <v>59</v>
      </c>
      <c r="R2" s="94">
        <v>61</v>
      </c>
      <c r="AC2" s="43"/>
      <c r="AD2" s="45"/>
      <c r="AE2" s="45"/>
      <c r="AF2" s="45"/>
      <c r="AG2" s="1"/>
    </row>
    <row r="3" spans="1:48">
      <c r="A3" s="87" t="s">
        <v>584</v>
      </c>
      <c r="B3" s="91">
        <v>0</v>
      </c>
      <c r="C3" s="91">
        <v>0</v>
      </c>
      <c r="D3" s="91">
        <v>0</v>
      </c>
      <c r="E3" s="91">
        <v>0</v>
      </c>
      <c r="F3" s="91">
        <v>0</v>
      </c>
      <c r="G3" s="91">
        <v>0</v>
      </c>
      <c r="H3" s="91">
        <v>0</v>
      </c>
      <c r="I3" s="91">
        <v>0</v>
      </c>
      <c r="J3" s="91">
        <v>0</v>
      </c>
      <c r="K3" s="91">
        <v>0</v>
      </c>
      <c r="L3" s="91">
        <v>0</v>
      </c>
      <c r="M3" s="91">
        <v>0</v>
      </c>
      <c r="N3" s="91">
        <v>0</v>
      </c>
      <c r="O3" s="91">
        <v>0</v>
      </c>
      <c r="P3" s="91">
        <v>0</v>
      </c>
      <c r="Q3" s="91">
        <v>0</v>
      </c>
      <c r="R3" s="91">
        <v>0</v>
      </c>
      <c r="AC3" s="43"/>
      <c r="AD3" s="46"/>
      <c r="AE3" s="46"/>
      <c r="AF3" s="46"/>
      <c r="AG3" s="1"/>
    </row>
    <row r="4" spans="1:48">
      <c r="A4" s="86" t="s">
        <v>0</v>
      </c>
      <c r="B4" s="91" t="s">
        <v>391</v>
      </c>
      <c r="C4" s="85" t="s">
        <v>610</v>
      </c>
      <c r="S4" s="2"/>
    </row>
    <row r="5" spans="1:48">
      <c r="S5" s="2"/>
      <c r="T5" s="3" t="s">
        <v>9</v>
      </c>
    </row>
    <row r="6" spans="1:48" ht="13.5" thickBot="1">
      <c r="A6" s="43" t="s">
        <v>608</v>
      </c>
      <c r="B6" s="63">
        <f>T7</f>
        <v>0</v>
      </c>
      <c r="C6" s="11" t="s">
        <v>609</v>
      </c>
      <c r="D6" s="5"/>
      <c r="E6" s="63">
        <f>T8</f>
        <v>0</v>
      </c>
      <c r="F6" s="11" t="s">
        <v>11</v>
      </c>
      <c r="I6" s="77"/>
      <c r="M6" s="92" t="s">
        <v>582</v>
      </c>
      <c r="N6" s="91">
        <v>13</v>
      </c>
      <c r="O6" s="123" t="s">
        <v>611</v>
      </c>
      <c r="T6" s="124" t="s">
        <v>604</v>
      </c>
      <c r="U6" s="8"/>
      <c r="V6" s="8"/>
      <c r="W6" s="27">
        <f>1200*LN(2187/2048)/LN(2)</f>
        <v>113.68500605771193</v>
      </c>
      <c r="X6" s="8" t="s">
        <v>48</v>
      </c>
      <c r="Y6" s="79"/>
      <c r="Z6" s="81">
        <f>$AO$208+0.000000001</f>
        <v>68.064628091346847</v>
      </c>
      <c r="AA6" s="8" t="s">
        <v>49</v>
      </c>
      <c r="AB6" s="8"/>
      <c r="AC6" s="9"/>
    </row>
    <row r="7" spans="1:48" ht="13.5">
      <c r="A7" s="33" t="s">
        <v>176</v>
      </c>
      <c r="B7" s="40" t="s">
        <v>177</v>
      </c>
      <c r="C7" s="33" t="s">
        <v>178</v>
      </c>
      <c r="D7" s="33" t="s">
        <v>179</v>
      </c>
      <c r="E7" s="33" t="s">
        <v>619</v>
      </c>
      <c r="F7" s="65"/>
      <c r="T7" s="28">
        <f>MOD(1200*(LN((3^$B$3)*(5^$C$3)*(7^$D$3)*(11^$E$3)*(13^$F$3)*(17^$G$3)*(19^$H$3)*(23^$I$3)*(29^$J$3)*(31^$K$3)*(37^$L$3)*(41^$M$3)*(43^$N$3)*(47^$O$3)*(53^$P$3)*(59^$Q$3)*(61^$R$3))/LN(2)),1200)</f>
        <v>0</v>
      </c>
      <c r="U7" s="11" t="s">
        <v>10</v>
      </c>
      <c r="V7" s="5"/>
      <c r="W7" s="5"/>
      <c r="X7" s="65" t="s">
        <v>185</v>
      </c>
      <c r="Y7" s="78"/>
      <c r="Z7" s="7">
        <f>Z$6/W$6</f>
        <v>0.59871244636072762</v>
      </c>
      <c r="AA7" s="5" t="s">
        <v>50</v>
      </c>
      <c r="AC7" s="12"/>
    </row>
    <row r="8" spans="1:48" ht="13.5" thickBot="1">
      <c r="A8" s="41" t="s">
        <v>180</v>
      </c>
      <c r="B8" s="41" t="s">
        <v>180</v>
      </c>
      <c r="C8" s="41" t="s">
        <v>180</v>
      </c>
      <c r="D8" s="41" t="s">
        <v>180</v>
      </c>
      <c r="E8" s="83" t="s">
        <v>180</v>
      </c>
      <c r="F8" s="84" t="s">
        <v>612</v>
      </c>
      <c r="G8" s="84"/>
      <c r="I8" s="97" t="s">
        <v>591</v>
      </c>
      <c r="J8" s="80"/>
      <c r="K8" s="98"/>
      <c r="L8" s="101" t="s">
        <v>587</v>
      </c>
      <c r="M8" s="102"/>
      <c r="N8" s="97" t="s">
        <v>588</v>
      </c>
      <c r="O8" s="98"/>
      <c r="P8" s="113" t="s">
        <v>606</v>
      </c>
      <c r="Q8" s="9"/>
      <c r="T8" s="28">
        <f>MOD(1200*(LN((3^($B$3+(FIND($B$4&amp;REPT(" ",3-LEN($B$4)),$T$5)-46)/3))*(5^$C$3)*(7^$D$3)*(11^$E$3)*(13^$F$3)*(17^$G$3)*(19^$H$3)*(23^$I$3)*(29^$J$3)*(31^$K$3)*(37^$L$3)*(41^$M$3)*(43^$N$3)*(47^$O$3)*(53^$P$3)*(59^$Q$3)*(61^$R$3))/LN(2)),1200)</f>
        <v>0</v>
      </c>
      <c r="U8" s="11" t="s">
        <v>11</v>
      </c>
      <c r="V8" s="5"/>
      <c r="W8" s="5"/>
      <c r="X8" s="65" t="s">
        <v>607</v>
      </c>
      <c r="Y8" s="7" t="s">
        <v>589</v>
      </c>
      <c r="Z8" s="7" t="s">
        <v>603</v>
      </c>
      <c r="AA8" s="7" t="s">
        <v>595</v>
      </c>
      <c r="AB8" s="7" t="s">
        <v>596</v>
      </c>
      <c r="AC8" s="31" t="s">
        <v>622</v>
      </c>
    </row>
    <row r="9" spans="1:48" ht="13.5">
      <c r="A9" s="54" t="str">
        <f t="shared" ref="A9:A15" si="0">$U9&amp;$V9&amp;$Y9</f>
        <v>C</v>
      </c>
      <c r="B9" s="34" t="str">
        <f t="shared" ref="B9:B15" si="1">$U9&amp;$V9&amp;$Z9</f>
        <v>C</v>
      </c>
      <c r="C9" s="47" t="str">
        <f t="shared" ref="C9:C15" si="2">$U9&amp;$V9&amp;$AA9</f>
        <v>C</v>
      </c>
      <c r="D9" s="37" t="str">
        <f t="shared" ref="D9:D15" si="3">$U9&amp;$V9&amp;$AB9</f>
        <v>C</v>
      </c>
      <c r="E9" s="88" t="str">
        <f t="shared" ref="E9:E15" si="4">$U9&amp;$V9&amp;$AC9</f>
        <v>C</v>
      </c>
      <c r="F9" s="82">
        <f t="shared" ref="F9:F15" si="5">$X9</f>
        <v>0</v>
      </c>
      <c r="G9" s="3" t="str">
        <f t="shared" ref="G9:G15" si="6">IF($U9="","","cents")</f>
        <v>cents</v>
      </c>
      <c r="I9" s="118"/>
      <c r="J9" s="157" t="s">
        <v>589</v>
      </c>
      <c r="K9" s="103"/>
      <c r="L9" s="158" t="s">
        <v>590</v>
      </c>
      <c r="M9" s="108"/>
      <c r="N9" s="96" t="s">
        <v>600</v>
      </c>
      <c r="O9" s="80"/>
      <c r="P9" s="115" t="s">
        <v>601</v>
      </c>
      <c r="Q9" s="9"/>
      <c r="T9" s="28">
        <f>IF(ABS(T$8-1200)&lt;300,1200,0)</f>
        <v>0</v>
      </c>
      <c r="U9" s="13" t="str">
        <f>IF(ABS(T$8-T9)&gt;2.000001*W$6,"","C")</f>
        <v>C</v>
      </c>
      <c r="V9" s="5" t="str">
        <f>IF(U9="","",IF(T$8-T9&gt;$W$6*(1+Z$7),"x",IF(T$8-T9&gt;W$6*Z$7,"#",IF(T9-T$8&gt;W$6*(1+Z$7),"bb",IF(T9-T$8&gt;W$6*Z$7,"b","")))))</f>
        <v/>
      </c>
      <c r="W9" s="6">
        <f t="shared" ref="W9:W15" si="7">IF(U9="","",IF(T$8-T9&gt;W$6*(1+Z$7),T9+W$6*2,IF(T$8-T9&gt;W$6*Z$7,T9+W$6,IF(T9-T$8&gt;W$6*(1+Z$7),T9-2*W$6,IF(T9-T$8&gt;W$6*Z$7,T9-W$6,T9)))))</f>
        <v>0</v>
      </c>
      <c r="X9" s="6">
        <f t="shared" ref="X9:X15" si="8">IF(U9="","",T$8-W9)</f>
        <v>0</v>
      </c>
      <c r="Y9" s="19" t="str">
        <f t="shared" ref="Y9:Y15" si="9">IF(U9="","",IF(X9&gt;0,VLOOKUP(X9,$U$20:$W$208,2,TRUE),VLOOKUP(-1*X9,$U$20:$W$208,3,TRUE)))</f>
        <v/>
      </c>
      <c r="Z9" s="19" t="str">
        <f t="shared" ref="Z9:Z15" si="10">IF(U9="","",IF(X9&gt;0,VLOOKUP(X9,$Z$20:$AB$208,2,TRUE),VLOOKUP(-1*X9,$Z$20:$AB$208,3,TRUE)))</f>
        <v/>
      </c>
      <c r="AA9" s="19" t="str">
        <f t="shared" ref="AA9:AA15" si="11">IF(U9="","",IF(X9&gt;0,VLOOKUP(X9,$AE$20:$AG$208,2,TRUE),VLOOKUP(-1*X9,$AE$20:$AG$208,3,TRUE)))</f>
        <v/>
      </c>
      <c r="AB9" s="19" t="str">
        <f t="shared" ref="AB9:AB15" si="12">IF(U9="","",IF(X9&gt;0,VLOOKUP(X9,$AJ$20:$AL$208,2,TRUE),VLOOKUP(-1*X9,$AJ$20:$AL$208,3,TRUE)))</f>
        <v/>
      </c>
      <c r="AC9" s="15" t="str">
        <f t="shared" ref="AC9:AC15" si="13">IF(U9="","",IF(X9&gt;0,VLOOKUP(X9,$AO$20:$AQ$208,2,TRUE),VLOOKUP(-1*X9,$AO$20:$AQ$208,3,TRUE)))</f>
        <v/>
      </c>
    </row>
    <row r="10" spans="1:48" ht="13.5">
      <c r="A10" s="55" t="str">
        <f t="shared" si="0"/>
        <v>Dbb/|</v>
      </c>
      <c r="B10" s="35" t="str">
        <f t="shared" si="1"/>
        <v>Dbb)/|</v>
      </c>
      <c r="C10" s="48" t="str">
        <f t="shared" si="2"/>
        <v>Dbb'/|</v>
      </c>
      <c r="D10" s="38" t="str">
        <f t="shared" si="3"/>
        <v>Dbb'/|</v>
      </c>
      <c r="E10" s="89" t="str">
        <f t="shared" si="4"/>
        <v>Dbb'/|</v>
      </c>
      <c r="F10" s="82">
        <f t="shared" si="5"/>
        <v>23.460010384649024</v>
      </c>
      <c r="G10" s="3" t="str">
        <f t="shared" si="6"/>
        <v>cents</v>
      </c>
      <c r="I10" s="110"/>
      <c r="J10" s="160" t="s">
        <v>592</v>
      </c>
      <c r="K10" s="104"/>
      <c r="L10" s="159" t="s">
        <v>593</v>
      </c>
      <c r="M10" s="104"/>
      <c r="N10" s="96" t="s">
        <v>599</v>
      </c>
      <c r="O10" s="80"/>
      <c r="P10" s="114" t="s">
        <v>601</v>
      </c>
      <c r="Q10" s="98"/>
      <c r="T10" s="28">
        <f>IF(ABS(T$8-1200*(LN(9/8)/LN(2))-1200)&lt;300,1200*(LN(9/8)/LN(2))+1200,1200*(LN(9/8)/LN(2)))</f>
        <v>203.91000173077484</v>
      </c>
      <c r="U10" s="13" t="str">
        <f>IF(ABS(T$8-T10)&gt;2.000001*W$6,"","D")</f>
        <v>D</v>
      </c>
      <c r="V10" s="5" t="str">
        <f t="shared" ref="V10:V15" si="14">IF(U10="","",IF(T$8-T10&gt;W$6*(1+Z$7),"x",IF(T$8-T10&gt;W$6*Z$7,"#",IF(T10-T$8&gt;W$6*(1+Z$7),"bb",IF(T10-T$8&gt;W$6*Z$7,"b","")))))</f>
        <v>bb</v>
      </c>
      <c r="W10" s="6">
        <f t="shared" si="7"/>
        <v>-23.460010384649024</v>
      </c>
      <c r="X10" s="6">
        <f t="shared" si="8"/>
        <v>23.460010384649024</v>
      </c>
      <c r="Y10" s="19" t="str">
        <f t="shared" si="9"/>
        <v>/|</v>
      </c>
      <c r="Z10" s="19" t="str">
        <f t="shared" si="10"/>
        <v>)/|</v>
      </c>
      <c r="AA10" s="19" t="str">
        <f t="shared" si="11"/>
        <v>'/|</v>
      </c>
      <c r="AB10" s="19" t="str">
        <f t="shared" si="12"/>
        <v>'/|</v>
      </c>
      <c r="AC10" s="15" t="str">
        <f t="shared" si="13"/>
        <v>'/|</v>
      </c>
    </row>
    <row r="11" spans="1:48" ht="13.5">
      <c r="A11" s="55" t="str">
        <f t="shared" si="0"/>
        <v/>
      </c>
      <c r="B11" s="35" t="str">
        <f t="shared" si="1"/>
        <v/>
      </c>
      <c r="C11" s="48" t="str">
        <f t="shared" si="2"/>
        <v/>
      </c>
      <c r="D11" s="38" t="str">
        <f t="shared" si="3"/>
        <v/>
      </c>
      <c r="E11" s="89" t="str">
        <f t="shared" si="4"/>
        <v/>
      </c>
      <c r="F11" s="82" t="str">
        <f t="shared" si="5"/>
        <v/>
      </c>
      <c r="G11" s="3" t="str">
        <f t="shared" si="6"/>
        <v/>
      </c>
      <c r="I11" s="106"/>
      <c r="J11" s="120" t="s">
        <v>595</v>
      </c>
      <c r="K11" s="105"/>
      <c r="L11" s="107" t="s">
        <v>593</v>
      </c>
      <c r="M11" s="109"/>
      <c r="N11" s="96" t="s">
        <v>594</v>
      </c>
      <c r="O11" s="80"/>
      <c r="P11" s="116" t="s">
        <v>605</v>
      </c>
      <c r="Q11" s="117"/>
      <c r="T11" s="28">
        <f>1200*(LN(81/64)/LN(2))</f>
        <v>407.82000346154967</v>
      </c>
      <c r="U11" s="13" t="str">
        <f>IF(ABS(T$8-T11)&gt;2.000001*W$6,"","E")</f>
        <v/>
      </c>
      <c r="V11" s="5" t="str">
        <f t="shared" si="14"/>
        <v/>
      </c>
      <c r="W11" s="6" t="str">
        <f t="shared" si="7"/>
        <v/>
      </c>
      <c r="X11" s="6" t="str">
        <f t="shared" si="8"/>
        <v/>
      </c>
      <c r="Y11" s="19" t="str">
        <f t="shared" si="9"/>
        <v/>
      </c>
      <c r="Z11" s="19" t="str">
        <f t="shared" si="10"/>
        <v/>
      </c>
      <c r="AA11" s="19" t="str">
        <f t="shared" si="11"/>
        <v/>
      </c>
      <c r="AB11" s="19" t="str">
        <f t="shared" si="12"/>
        <v/>
      </c>
      <c r="AC11" s="15" t="str">
        <f t="shared" si="13"/>
        <v/>
      </c>
    </row>
    <row r="12" spans="1:48" ht="13.5">
      <c r="A12" s="55" t="str">
        <f t="shared" si="0"/>
        <v/>
      </c>
      <c r="B12" s="35" t="str">
        <f t="shared" si="1"/>
        <v/>
      </c>
      <c r="C12" s="48" t="str">
        <f t="shared" si="2"/>
        <v/>
      </c>
      <c r="D12" s="38" t="str">
        <f t="shared" si="3"/>
        <v/>
      </c>
      <c r="E12" s="89" t="str">
        <f t="shared" si="4"/>
        <v/>
      </c>
      <c r="F12" s="82" t="str">
        <f t="shared" si="5"/>
        <v/>
      </c>
      <c r="G12" s="3" t="str">
        <f t="shared" si="6"/>
        <v/>
      </c>
      <c r="I12" s="119"/>
      <c r="J12" s="121" t="s">
        <v>596</v>
      </c>
      <c r="K12" s="112"/>
      <c r="L12" s="111" t="s">
        <v>597</v>
      </c>
      <c r="M12" s="112"/>
      <c r="N12" s="96" t="s">
        <v>598</v>
      </c>
      <c r="O12" s="80"/>
      <c r="P12" s="114" t="s">
        <v>602</v>
      </c>
      <c r="Q12" s="98"/>
      <c r="T12" s="28">
        <f>1200*(LN(4/3)/LN(2))</f>
        <v>498.04499913461245</v>
      </c>
      <c r="U12" s="13" t="str">
        <f>IF(ABS(T$8-T12)&gt;2.000001*W$6,"","F")</f>
        <v/>
      </c>
      <c r="V12" s="5" t="str">
        <f t="shared" si="14"/>
        <v/>
      </c>
      <c r="W12" s="6" t="str">
        <f t="shared" si="7"/>
        <v/>
      </c>
      <c r="X12" s="6" t="str">
        <f t="shared" si="8"/>
        <v/>
      </c>
      <c r="Y12" s="19" t="str">
        <f t="shared" si="9"/>
        <v/>
      </c>
      <c r="Z12" s="19" t="str">
        <f t="shared" si="10"/>
        <v/>
      </c>
      <c r="AA12" s="19" t="str">
        <f t="shared" si="11"/>
        <v/>
      </c>
      <c r="AB12" s="19" t="str">
        <f t="shared" si="12"/>
        <v/>
      </c>
      <c r="AC12" s="15" t="str">
        <f t="shared" si="13"/>
        <v/>
      </c>
    </row>
    <row r="13" spans="1:48" ht="13.5">
      <c r="A13" s="55" t="str">
        <f t="shared" si="0"/>
        <v/>
      </c>
      <c r="B13" s="35" t="str">
        <f t="shared" si="1"/>
        <v/>
      </c>
      <c r="C13" s="48" t="str">
        <f t="shared" si="2"/>
        <v/>
      </c>
      <c r="D13" s="38" t="str">
        <f t="shared" si="3"/>
        <v/>
      </c>
      <c r="E13" s="89" t="str">
        <f t="shared" si="4"/>
        <v/>
      </c>
      <c r="F13" s="82" t="str">
        <f t="shared" si="5"/>
        <v/>
      </c>
      <c r="G13" s="3" t="str">
        <f t="shared" si="6"/>
        <v/>
      </c>
      <c r="I13" s="99"/>
      <c r="J13" s="161" t="s">
        <v>625</v>
      </c>
      <c r="K13" s="100"/>
      <c r="L13" s="162" t="s">
        <v>623</v>
      </c>
      <c r="M13" s="100"/>
      <c r="N13" s="96" t="s">
        <v>624</v>
      </c>
      <c r="O13" s="80"/>
      <c r="P13" s="114" t="s">
        <v>602</v>
      </c>
      <c r="Q13" s="98"/>
      <c r="T13" s="28">
        <f>1200*(LN(3/2)/LN(2))</f>
        <v>701.95500086538743</v>
      </c>
      <c r="U13" s="13" t="str">
        <f>IF(ABS(T$8-T13)&gt;2.000001*W$6,"","G")</f>
        <v/>
      </c>
      <c r="V13" s="5" t="str">
        <f t="shared" si="14"/>
        <v/>
      </c>
      <c r="W13" s="6" t="str">
        <f t="shared" si="7"/>
        <v/>
      </c>
      <c r="X13" s="6" t="str">
        <f t="shared" si="8"/>
        <v/>
      </c>
      <c r="Y13" s="19" t="str">
        <f t="shared" si="9"/>
        <v/>
      </c>
      <c r="Z13" s="19" t="str">
        <f t="shared" si="10"/>
        <v/>
      </c>
      <c r="AA13" s="19" t="str">
        <f t="shared" si="11"/>
        <v/>
      </c>
      <c r="AB13" s="19" t="str">
        <f t="shared" si="12"/>
        <v/>
      </c>
      <c r="AC13" s="15" t="str">
        <f t="shared" si="13"/>
        <v/>
      </c>
    </row>
    <row r="14" spans="1:48" ht="13.5">
      <c r="A14" s="55" t="str">
        <f t="shared" si="0"/>
        <v/>
      </c>
      <c r="B14" s="35" t="str">
        <f t="shared" si="1"/>
        <v/>
      </c>
      <c r="C14" s="48" t="str">
        <f t="shared" si="2"/>
        <v/>
      </c>
      <c r="D14" s="38" t="str">
        <f t="shared" si="3"/>
        <v/>
      </c>
      <c r="E14" s="89" t="str">
        <f t="shared" si="4"/>
        <v/>
      </c>
      <c r="F14" s="82" t="str">
        <f t="shared" si="5"/>
        <v/>
      </c>
      <c r="G14" s="3" t="str">
        <f t="shared" si="6"/>
        <v/>
      </c>
      <c r="T14" s="28">
        <f>1200*(LN(27/16)/LN(2))</f>
        <v>905.86500259616241</v>
      </c>
      <c r="U14" s="13" t="str">
        <f>IF(ABS(T$8-T14)&gt;2.000001*W$6,"","A")</f>
        <v/>
      </c>
      <c r="V14" s="5" t="str">
        <f t="shared" si="14"/>
        <v/>
      </c>
      <c r="W14" s="6" t="str">
        <f t="shared" si="7"/>
        <v/>
      </c>
      <c r="X14" s="6" t="str">
        <f t="shared" si="8"/>
        <v/>
      </c>
      <c r="Y14" s="19" t="str">
        <f t="shared" si="9"/>
        <v/>
      </c>
      <c r="Z14" s="19" t="str">
        <f t="shared" si="10"/>
        <v/>
      </c>
      <c r="AA14" s="19" t="str">
        <f t="shared" si="11"/>
        <v/>
      </c>
      <c r="AB14" s="19" t="str">
        <f t="shared" si="12"/>
        <v/>
      </c>
      <c r="AC14" s="15" t="str">
        <f t="shared" si="13"/>
        <v/>
      </c>
    </row>
    <row r="15" spans="1:48" ht="14.25" thickBot="1">
      <c r="A15" s="56" t="str">
        <f t="shared" si="0"/>
        <v>B#\!</v>
      </c>
      <c r="B15" s="36" t="str">
        <f t="shared" si="1"/>
        <v>B#)\!</v>
      </c>
      <c r="C15" s="49" t="str">
        <f t="shared" si="2"/>
        <v>B#.\!</v>
      </c>
      <c r="D15" s="39" t="str">
        <f t="shared" si="3"/>
        <v>B#.\!</v>
      </c>
      <c r="E15" s="90" t="str">
        <f t="shared" si="4"/>
        <v>B#.\!</v>
      </c>
      <c r="F15" s="82">
        <f t="shared" si="5"/>
        <v>-23.460010384648982</v>
      </c>
      <c r="G15" s="3" t="str">
        <f t="shared" si="6"/>
        <v>cents</v>
      </c>
      <c r="T15" s="29">
        <f>IF(ABS(T$8-1200*(LN(243/128)/LN(2))+1200)&lt;300,1200*(LN(243/128)/LN(2))-1200,1200*(LN(243/128)/LN(2)))</f>
        <v>-90.224995673062949</v>
      </c>
      <c r="U15" s="17" t="str">
        <f>IF(ABS(T$8-T15)&gt;2.000001*W$6,"","B")</f>
        <v>B</v>
      </c>
      <c r="V15" s="18" t="str">
        <f t="shared" si="14"/>
        <v>#</v>
      </c>
      <c r="W15" s="30">
        <f t="shared" si="7"/>
        <v>23.460010384648982</v>
      </c>
      <c r="X15" s="30">
        <f t="shared" si="8"/>
        <v>-23.460010384648982</v>
      </c>
      <c r="Y15" s="26" t="str">
        <f t="shared" si="9"/>
        <v>\!</v>
      </c>
      <c r="Z15" s="26" t="str">
        <f t="shared" si="10"/>
        <v>)\!</v>
      </c>
      <c r="AA15" s="26" t="str">
        <f t="shared" si="11"/>
        <v>.\!</v>
      </c>
      <c r="AB15" s="26" t="str">
        <f t="shared" si="12"/>
        <v>.\!</v>
      </c>
      <c r="AC15" s="32" t="str">
        <f t="shared" si="13"/>
        <v>.\!</v>
      </c>
    </row>
    <row r="16" spans="1:48">
      <c r="A16" s="25" t="s">
        <v>627</v>
      </c>
      <c r="B16" s="80"/>
      <c r="C16" s="8"/>
      <c r="D16" s="8"/>
      <c r="E16" s="9"/>
      <c r="T16" s="25" t="s">
        <v>181</v>
      </c>
      <c r="U16" s="8"/>
      <c r="V16" s="8"/>
      <c r="W16" s="9"/>
      <c r="X16" s="5"/>
      <c r="Y16" s="25" t="s">
        <v>182</v>
      </c>
      <c r="Z16" s="8"/>
      <c r="AA16" s="8"/>
      <c r="AB16" s="9"/>
      <c r="AC16" s="6"/>
      <c r="AD16" s="25" t="s">
        <v>183</v>
      </c>
      <c r="AE16" s="8"/>
      <c r="AF16" s="8"/>
      <c r="AG16" s="9"/>
      <c r="AH16" s="6"/>
      <c r="AI16" s="25" t="s">
        <v>184</v>
      </c>
      <c r="AJ16" s="8"/>
      <c r="AK16" s="8"/>
      <c r="AL16" s="9"/>
      <c r="AN16" s="25" t="s">
        <v>620</v>
      </c>
      <c r="AO16" s="8"/>
      <c r="AP16" s="8"/>
      <c r="AQ16" s="9"/>
      <c r="AV16" s="14"/>
    </row>
    <row r="17" spans="1:48">
      <c r="A17" s="20"/>
      <c r="B17" s="59"/>
      <c r="C17" s="60"/>
      <c r="D17" s="8"/>
      <c r="E17" s="61"/>
      <c r="T17" s="10">
        <v>21</v>
      </c>
      <c r="U17" s="5" t="s">
        <v>44</v>
      </c>
      <c r="V17" s="5"/>
      <c r="W17" s="12"/>
      <c r="X17" s="50"/>
      <c r="Y17" s="10">
        <v>47</v>
      </c>
      <c r="Z17" s="5" t="s">
        <v>44</v>
      </c>
      <c r="AA17" s="5"/>
      <c r="AB17" s="12"/>
      <c r="AC17" s="50"/>
      <c r="AD17" s="10">
        <v>58</v>
      </c>
      <c r="AE17" s="5" t="s">
        <v>44</v>
      </c>
      <c r="AF17" s="5"/>
      <c r="AG17" s="12"/>
      <c r="AH17" s="50"/>
      <c r="AI17" s="20">
        <v>233</v>
      </c>
      <c r="AJ17" s="8" t="s">
        <v>44</v>
      </c>
      <c r="AK17" s="5"/>
      <c r="AL17" s="12"/>
      <c r="AM17" s="5"/>
      <c r="AN17" s="20">
        <v>233</v>
      </c>
      <c r="AO17" s="8" t="s">
        <v>44</v>
      </c>
      <c r="AP17" s="8"/>
      <c r="AQ17" s="9"/>
      <c r="AV17" s="14"/>
    </row>
    <row r="18" spans="1:48">
      <c r="A18" s="13" t="s">
        <v>185</v>
      </c>
      <c r="B18" s="14"/>
      <c r="C18" s="14"/>
      <c r="D18" s="13" t="s">
        <v>185</v>
      </c>
      <c r="E18" s="12"/>
      <c r="F18" s="76" t="s">
        <v>628</v>
      </c>
      <c r="T18" s="21">
        <f>LN(3^7/2^11)/LN(2)*1200/T$17</f>
        <v>5.4135717170339017</v>
      </c>
      <c r="U18" s="11" t="s">
        <v>581</v>
      </c>
      <c r="V18" s="5"/>
      <c r="W18" s="12"/>
      <c r="X18" s="50"/>
      <c r="Y18" s="21">
        <f>LN(3^7/2^11)/LN(2)*1200/Y$17</f>
        <v>2.4188299161215303</v>
      </c>
      <c r="Z18" s="11" t="s">
        <v>581</v>
      </c>
      <c r="AA18" s="5"/>
      <c r="AB18" s="12"/>
      <c r="AC18" s="50"/>
      <c r="AD18" s="21">
        <f>LN(3^7/2^11)/LN(2)*1200/AD$17</f>
        <v>1.9600863113398608</v>
      </c>
      <c r="AE18" s="11" t="s">
        <v>581</v>
      </c>
      <c r="AF18" s="5"/>
      <c r="AG18" s="12"/>
      <c r="AH18" s="50"/>
      <c r="AI18" s="21">
        <f>LN(3^7/2^11)/LN(2)*1200/AI$17</f>
        <v>0.48791848093438595</v>
      </c>
      <c r="AJ18" s="11" t="s">
        <v>45</v>
      </c>
      <c r="AK18" s="5"/>
      <c r="AL18" s="12"/>
      <c r="AM18" s="5"/>
      <c r="AN18" s="21">
        <f>LN(3^7/2^11)/LN(2)*1200/AN$17</f>
        <v>0.48791848093438595</v>
      </c>
      <c r="AO18" s="11" t="s">
        <v>45</v>
      </c>
      <c r="AP18" s="5"/>
      <c r="AQ18" s="12"/>
    </row>
    <row r="19" spans="1:48">
      <c r="A19" s="17" t="s">
        <v>93</v>
      </c>
      <c r="B19" s="122" t="s">
        <v>185</v>
      </c>
      <c r="C19" s="131" t="s">
        <v>91</v>
      </c>
      <c r="D19" s="17" t="s">
        <v>43</v>
      </c>
      <c r="E19" s="53" t="s">
        <v>626</v>
      </c>
      <c r="F19" t="s">
        <v>596</v>
      </c>
      <c r="H19" t="s">
        <v>595</v>
      </c>
      <c r="K19" s="168" t="s">
        <v>592</v>
      </c>
      <c r="N19" s="168" t="s">
        <v>589</v>
      </c>
      <c r="T19" s="23" t="s">
        <v>40</v>
      </c>
      <c r="U19" s="17" t="s">
        <v>43</v>
      </c>
      <c r="V19" s="17" t="s">
        <v>41</v>
      </c>
      <c r="W19" s="53" t="s">
        <v>42</v>
      </c>
      <c r="X19" s="7"/>
      <c r="Y19" s="23" t="s">
        <v>40</v>
      </c>
      <c r="Z19" s="17" t="s">
        <v>43</v>
      </c>
      <c r="AA19" s="17" t="s">
        <v>41</v>
      </c>
      <c r="AB19" s="53" t="s">
        <v>42</v>
      </c>
      <c r="AC19" s="7"/>
      <c r="AD19" s="23" t="s">
        <v>40</v>
      </c>
      <c r="AE19" s="17" t="s">
        <v>43</v>
      </c>
      <c r="AF19" s="17" t="s">
        <v>41</v>
      </c>
      <c r="AG19" s="53" t="s">
        <v>42</v>
      </c>
      <c r="AH19" s="7"/>
      <c r="AI19" s="23" t="s">
        <v>40</v>
      </c>
      <c r="AJ19" s="17" t="s">
        <v>43</v>
      </c>
      <c r="AK19" s="17" t="s">
        <v>41</v>
      </c>
      <c r="AL19" s="53" t="s">
        <v>42</v>
      </c>
      <c r="AM19" s="17"/>
      <c r="AN19" s="23" t="s">
        <v>40</v>
      </c>
      <c r="AO19" s="17" t="s">
        <v>43</v>
      </c>
      <c r="AP19" s="17" t="s">
        <v>41</v>
      </c>
      <c r="AQ19" s="53" t="s">
        <v>42</v>
      </c>
    </row>
    <row r="20" spans="1:48" ht="13.5">
      <c r="A20" s="135" t="s">
        <v>349</v>
      </c>
      <c r="B20" s="135">
        <v>1</v>
      </c>
      <c r="C20" s="135">
        <v>1</v>
      </c>
      <c r="D20" s="136">
        <f t="shared" ref="D20:D51" si="15">1200*LN($C20/$B20)/LN(2)</f>
        <v>0</v>
      </c>
      <c r="E20" s="137" t="str">
        <f>""</f>
        <v/>
      </c>
      <c r="F20" s="163" t="s">
        <v>349</v>
      </c>
      <c r="G20" s="164"/>
      <c r="H20" s="163" t="s">
        <v>349</v>
      </c>
      <c r="I20" s="165"/>
      <c r="J20" s="164"/>
      <c r="K20" s="163" t="s">
        <v>349</v>
      </c>
      <c r="L20" s="165"/>
      <c r="M20" s="164"/>
      <c r="N20" s="163" t="s">
        <v>349</v>
      </c>
      <c r="O20" s="165"/>
      <c r="T20" s="67">
        <v>0</v>
      </c>
      <c r="U20" s="64">
        <v>0</v>
      </c>
      <c r="V20" s="4" t="str">
        <f>""</f>
        <v/>
      </c>
      <c r="W20" s="51" t="str">
        <f>""</f>
        <v/>
      </c>
      <c r="X20" s="7"/>
      <c r="Y20" s="16">
        <v>0</v>
      </c>
      <c r="Z20" s="64">
        <v>0</v>
      </c>
      <c r="AA20" s="4" t="str">
        <f>""</f>
        <v/>
      </c>
      <c r="AB20" s="51" t="str">
        <f>""</f>
        <v/>
      </c>
      <c r="AC20" s="7"/>
      <c r="AD20" s="16">
        <v>0</v>
      </c>
      <c r="AE20" s="64">
        <v>0</v>
      </c>
      <c r="AF20" s="4" t="str">
        <f>""</f>
        <v/>
      </c>
      <c r="AG20" s="51" t="str">
        <f>""</f>
        <v/>
      </c>
      <c r="AH20" s="7"/>
      <c r="AI20" s="16">
        <v>0</v>
      </c>
      <c r="AJ20" s="7">
        <v>0</v>
      </c>
      <c r="AK20" s="4" t="str">
        <f>""</f>
        <v/>
      </c>
      <c r="AL20" s="51" t="str">
        <f>""</f>
        <v/>
      </c>
      <c r="AM20" s="4"/>
      <c r="AN20" s="16">
        <v>0</v>
      </c>
      <c r="AO20" s="7">
        <v>0</v>
      </c>
      <c r="AP20" s="4" t="str">
        <f>""</f>
        <v/>
      </c>
      <c r="AQ20" s="51" t="str">
        <f>""</f>
        <v/>
      </c>
    </row>
    <row r="21" spans="1:48" ht="13.5">
      <c r="A21" s="178" t="s">
        <v>269</v>
      </c>
      <c r="B21" s="178">
        <f>5*7*13*3^2</f>
        <v>4095</v>
      </c>
      <c r="C21" s="178">
        <f>2^12</f>
        <v>4096</v>
      </c>
      <c r="D21" s="179">
        <f t="shared" si="15"/>
        <v>0.42271616595482425</v>
      </c>
      <c r="E21" s="180" t="s">
        <v>232</v>
      </c>
      <c r="F21" s="181" t="s">
        <v>269</v>
      </c>
      <c r="G21" s="182"/>
      <c r="J21" s="126"/>
      <c r="M21" s="126"/>
      <c r="T21" s="67"/>
      <c r="U21" s="13"/>
      <c r="V21" s="13"/>
      <c r="W21" s="12"/>
      <c r="X21" s="7"/>
      <c r="Y21" s="16"/>
      <c r="Z21" s="13"/>
      <c r="AA21" s="13"/>
      <c r="AB21" s="12"/>
      <c r="AC21" s="7"/>
      <c r="AD21" s="16"/>
      <c r="AE21" s="13"/>
      <c r="AF21" s="13"/>
      <c r="AG21" s="12"/>
      <c r="AH21" s="7"/>
      <c r="AI21" s="16">
        <f>AN21</f>
        <v>1</v>
      </c>
      <c r="AJ21" s="66">
        <f>AO21</f>
        <v>0.24395924046719297</v>
      </c>
      <c r="AK21" s="19" t="str">
        <f>AP21</f>
        <v>|'</v>
      </c>
      <c r="AL21" s="15" t="str">
        <f>AQ21</f>
        <v>!.</v>
      </c>
      <c r="AM21" s="19"/>
      <c r="AN21" s="16">
        <f>AN20+1</f>
        <v>1</v>
      </c>
      <c r="AO21" s="7">
        <f>(AN21+AN20)/2*AN$18</f>
        <v>0.24395924046719297</v>
      </c>
      <c r="AP21" s="19" t="s">
        <v>232</v>
      </c>
      <c r="AQ21" s="15" t="s">
        <v>233</v>
      </c>
    </row>
    <row r="22" spans="1:48" ht="13.5">
      <c r="A22" s="199" t="s">
        <v>394</v>
      </c>
      <c r="B22" s="199">
        <f>2^5*3*5^2</f>
        <v>2400</v>
      </c>
      <c r="C22" s="199">
        <f>7^4</f>
        <v>2401</v>
      </c>
      <c r="D22" s="200">
        <f t="shared" si="15"/>
        <v>0.72119728144277584</v>
      </c>
      <c r="E22" s="201" t="s">
        <v>392</v>
      </c>
      <c r="F22" s="130"/>
      <c r="G22" s="125"/>
      <c r="J22" s="125"/>
      <c r="M22" s="125"/>
      <c r="T22" s="67"/>
      <c r="U22" s="13"/>
      <c r="V22" s="13"/>
      <c r="W22" s="12"/>
      <c r="X22" s="7"/>
      <c r="Y22" s="16"/>
      <c r="Z22" s="13"/>
      <c r="AA22" s="13"/>
      <c r="AB22" s="12"/>
      <c r="AC22" s="7"/>
      <c r="AD22" s="16"/>
      <c r="AE22" s="13"/>
      <c r="AF22" s="13"/>
      <c r="AG22" s="12"/>
      <c r="AH22" s="7"/>
      <c r="AI22" s="62"/>
      <c r="AJ22" s="66"/>
      <c r="AK22" s="19"/>
      <c r="AL22" s="15"/>
      <c r="AM22" s="19"/>
      <c r="AN22" s="62">
        <f>AN21+(AO22-AO21)/$AN$18</f>
        <v>1.6722382857961786</v>
      </c>
      <c r="AO22" s="7">
        <f>(D21+D22)/2</f>
        <v>0.57195672369880002</v>
      </c>
      <c r="AP22" s="19" t="s">
        <v>392</v>
      </c>
      <c r="AQ22" s="51" t="s">
        <v>393</v>
      </c>
    </row>
    <row r="23" spans="1:48" ht="13.5">
      <c r="A23" s="178" t="s">
        <v>270</v>
      </c>
      <c r="B23" s="178">
        <f>3^3*7*11</f>
        <v>2079</v>
      </c>
      <c r="C23" s="178">
        <f>2^5*5*13</f>
        <v>2080</v>
      </c>
      <c r="D23" s="179">
        <f t="shared" si="15"/>
        <v>0.83252420410159889</v>
      </c>
      <c r="E23" s="180" t="s">
        <v>234</v>
      </c>
      <c r="F23" s="181" t="s">
        <v>270</v>
      </c>
      <c r="G23" s="182"/>
      <c r="J23" s="126"/>
      <c r="M23" s="126"/>
      <c r="T23" s="67"/>
      <c r="U23" s="13"/>
      <c r="V23" s="13"/>
      <c r="W23" s="12"/>
      <c r="X23" s="7"/>
      <c r="Y23" s="16"/>
      <c r="Z23" s="13"/>
      <c r="AA23" s="13"/>
      <c r="AB23" s="12"/>
      <c r="AC23" s="7"/>
      <c r="AD23" s="16"/>
      <c r="AE23" s="13"/>
      <c r="AF23" s="13"/>
      <c r="AG23" s="12"/>
      <c r="AH23" s="7"/>
      <c r="AI23" s="16">
        <f t="shared" ref="AI23:AJ26" si="16">AN23</f>
        <v>2</v>
      </c>
      <c r="AJ23" s="66">
        <f t="shared" si="16"/>
        <v>0.73187772140157892</v>
      </c>
      <c r="AK23" s="19" t="str">
        <f t="shared" ref="AK23:AL26" si="17">AP23</f>
        <v>|''</v>
      </c>
      <c r="AL23" s="15" t="str">
        <f t="shared" si="17"/>
        <v>!..</v>
      </c>
      <c r="AM23" s="19"/>
      <c r="AN23" s="16">
        <f>AN21+1</f>
        <v>2</v>
      </c>
      <c r="AO23" s="7">
        <f>(AN23+AN21)/2*AN$18</f>
        <v>0.73187772140157892</v>
      </c>
      <c r="AP23" s="19" t="s">
        <v>234</v>
      </c>
      <c r="AQ23" s="15" t="s">
        <v>235</v>
      </c>
    </row>
    <row r="24" spans="1:48" ht="13.5">
      <c r="A24" s="147" t="s">
        <v>348</v>
      </c>
      <c r="B24" s="147">
        <f>3^5*5</f>
        <v>1215</v>
      </c>
      <c r="C24" s="147">
        <f>2^6*19</f>
        <v>1216</v>
      </c>
      <c r="D24" s="148">
        <f t="shared" si="15"/>
        <v>1.4242979405307952</v>
      </c>
      <c r="E24" s="149" t="s">
        <v>395</v>
      </c>
      <c r="F24" s="174" t="s">
        <v>348</v>
      </c>
      <c r="G24" s="175"/>
      <c r="H24" s="174" t="s">
        <v>348</v>
      </c>
      <c r="I24" s="176"/>
      <c r="J24" s="175"/>
      <c r="M24" s="126"/>
      <c r="T24" s="67"/>
      <c r="U24" s="13"/>
      <c r="V24" s="13"/>
      <c r="W24" s="12"/>
      <c r="X24" s="7"/>
      <c r="Y24" s="67">
        <v>1</v>
      </c>
      <c r="Z24" s="13">
        <f>$AO24</f>
        <v>1.219796202335965</v>
      </c>
      <c r="AA24" s="19" t="s">
        <v>38</v>
      </c>
      <c r="AB24" s="15" t="s">
        <v>39</v>
      </c>
      <c r="AC24" s="7"/>
      <c r="AD24" s="67">
        <v>1</v>
      </c>
      <c r="AE24" s="13">
        <f>$AO24</f>
        <v>1.219796202335965</v>
      </c>
      <c r="AF24" s="19" t="s">
        <v>395</v>
      </c>
      <c r="AG24" s="51" t="s">
        <v>396</v>
      </c>
      <c r="AH24" s="7"/>
      <c r="AI24" s="16">
        <f t="shared" si="16"/>
        <v>3</v>
      </c>
      <c r="AJ24" s="66">
        <f t="shared" si="16"/>
        <v>1.219796202335965</v>
      </c>
      <c r="AK24" s="19" t="str">
        <f t="shared" si="17"/>
        <v>.)|</v>
      </c>
      <c r="AL24" s="15" t="str">
        <f t="shared" si="17"/>
        <v>')!</v>
      </c>
      <c r="AM24" s="19"/>
      <c r="AN24" s="16">
        <f>AN23+1</f>
        <v>3</v>
      </c>
      <c r="AO24" s="7">
        <f>(AN24+AN23)/2*AN$18</f>
        <v>1.219796202335965</v>
      </c>
      <c r="AP24" s="19" t="s">
        <v>395</v>
      </c>
      <c r="AQ24" s="51" t="s">
        <v>396</v>
      </c>
    </row>
    <row r="25" spans="1:48" ht="13.5">
      <c r="A25" s="147" t="s">
        <v>95</v>
      </c>
      <c r="B25" s="147">
        <f>2^15</f>
        <v>32768</v>
      </c>
      <c r="C25" s="150">
        <f>3^8*5</f>
        <v>32805</v>
      </c>
      <c r="D25" s="148">
        <f t="shared" si="15"/>
        <v>1.9537207879341596</v>
      </c>
      <c r="E25" s="151" t="s">
        <v>53</v>
      </c>
      <c r="F25" s="174" t="s">
        <v>95</v>
      </c>
      <c r="G25" s="177"/>
      <c r="H25" s="174" t="s">
        <v>95</v>
      </c>
      <c r="I25" s="176"/>
      <c r="J25" s="177"/>
      <c r="M25" s="127"/>
      <c r="T25" s="67"/>
      <c r="U25" s="13"/>
      <c r="V25" s="13"/>
      <c r="W25" s="12"/>
      <c r="X25" s="7"/>
      <c r="Y25" s="16"/>
      <c r="Z25" s="13"/>
      <c r="AA25" s="13"/>
      <c r="AB25" s="12"/>
      <c r="AC25" s="7"/>
      <c r="AD25" s="67">
        <v>1.3</v>
      </c>
      <c r="AE25" s="13">
        <f>$AO25</f>
        <v>1.7077146832703507</v>
      </c>
      <c r="AF25" s="4" t="s">
        <v>53</v>
      </c>
      <c r="AG25" s="15" t="s">
        <v>54</v>
      </c>
      <c r="AH25" s="7"/>
      <c r="AI25" s="16">
        <f t="shared" si="16"/>
        <v>4</v>
      </c>
      <c r="AJ25" s="66">
        <f t="shared" si="16"/>
        <v>1.7077146832703507</v>
      </c>
      <c r="AK25" s="19" t="str">
        <f t="shared" si="17"/>
        <v>'|</v>
      </c>
      <c r="AL25" s="15" t="str">
        <f t="shared" si="17"/>
        <v>.!</v>
      </c>
      <c r="AM25" s="19"/>
      <c r="AN25" s="16">
        <f>AN24+1</f>
        <v>4</v>
      </c>
      <c r="AO25" s="7">
        <f>(AN25+AN24)/2*AN$18</f>
        <v>1.7077146832703507</v>
      </c>
      <c r="AP25" s="4" t="s">
        <v>53</v>
      </c>
      <c r="AQ25" s="15" t="s">
        <v>54</v>
      </c>
    </row>
    <row r="26" spans="1:48" ht="13.5">
      <c r="A26" s="178" t="s">
        <v>397</v>
      </c>
      <c r="B26" s="178">
        <f>2^3*7*13</f>
        <v>728</v>
      </c>
      <c r="C26" s="178">
        <f>3^6</f>
        <v>729</v>
      </c>
      <c r="D26" s="179">
        <f t="shared" si="15"/>
        <v>2.3764369538889771</v>
      </c>
      <c r="E26" s="183" t="s">
        <v>227</v>
      </c>
      <c r="F26" s="181" t="s">
        <v>397</v>
      </c>
      <c r="G26" s="184"/>
      <c r="J26" s="127"/>
      <c r="M26" s="127"/>
      <c r="T26" s="67"/>
      <c r="U26" s="13"/>
      <c r="V26" s="13"/>
      <c r="W26" s="12"/>
      <c r="X26" s="7"/>
      <c r="Y26" s="16"/>
      <c r="Z26" s="13"/>
      <c r="AA26" s="13"/>
      <c r="AB26" s="12"/>
      <c r="AC26" s="7"/>
      <c r="AD26" s="16"/>
      <c r="AE26" s="13"/>
      <c r="AF26" s="13"/>
      <c r="AG26" s="22"/>
      <c r="AH26" s="7"/>
      <c r="AI26" s="16">
        <f t="shared" si="16"/>
        <v>5</v>
      </c>
      <c r="AJ26" s="66">
        <f t="shared" si="16"/>
        <v>2.1956331642047369</v>
      </c>
      <c r="AK26" s="19" t="str">
        <f t="shared" si="17"/>
        <v>'|'</v>
      </c>
      <c r="AL26" s="15" t="str">
        <f t="shared" si="17"/>
        <v>.!.</v>
      </c>
      <c r="AM26" s="19"/>
      <c r="AN26" s="16">
        <f>AN25+1</f>
        <v>5</v>
      </c>
      <c r="AO26" s="7">
        <f>(AN26+AN25)/2*AN$18</f>
        <v>2.1956331642047369</v>
      </c>
      <c r="AP26" s="4" t="s">
        <v>227</v>
      </c>
      <c r="AQ26" s="15" t="s">
        <v>228</v>
      </c>
    </row>
    <row r="27" spans="1:48" ht="13.5">
      <c r="A27" s="199" t="s">
        <v>226</v>
      </c>
      <c r="B27" s="199">
        <f>3^9</f>
        <v>19683</v>
      </c>
      <c r="C27" s="199">
        <f>2^8*7*11</f>
        <v>19712</v>
      </c>
      <c r="D27" s="200">
        <f t="shared" si="15"/>
        <v>2.5488410453947257</v>
      </c>
      <c r="E27" s="201" t="s">
        <v>398</v>
      </c>
      <c r="F27" s="130"/>
      <c r="G27" s="126"/>
      <c r="J27" s="126"/>
      <c r="M27" s="126"/>
      <c r="T27" s="67"/>
      <c r="U27" s="13"/>
      <c r="V27" s="13"/>
      <c r="W27" s="12"/>
      <c r="X27" s="7"/>
      <c r="Y27" s="16"/>
      <c r="Z27" s="13"/>
      <c r="AA27" s="13"/>
      <c r="AB27" s="12"/>
      <c r="AC27" s="7"/>
      <c r="AD27" s="16"/>
      <c r="AE27" s="13"/>
      <c r="AF27" s="13"/>
      <c r="AG27" s="22"/>
      <c r="AH27" s="7"/>
      <c r="AI27" s="62"/>
      <c r="AJ27" s="66"/>
      <c r="AK27" s="19"/>
      <c r="AL27" s="15"/>
      <c r="AM27" s="19"/>
      <c r="AN27" s="62">
        <f>AN26+(AO27-AO26)/$AN$18</f>
        <v>5.5472345194340376</v>
      </c>
      <c r="AO27" s="7">
        <f>(D26+D27)/2</f>
        <v>2.4626389996418512</v>
      </c>
      <c r="AP27" s="19" t="s">
        <v>398</v>
      </c>
      <c r="AQ27" s="15" t="s">
        <v>399</v>
      </c>
    </row>
    <row r="28" spans="1:48" ht="13.5">
      <c r="A28" s="185" t="s">
        <v>400</v>
      </c>
      <c r="B28" s="185">
        <f>2^8*5^4*7</f>
        <v>1120000</v>
      </c>
      <c r="C28" s="185">
        <f>3^10*19</f>
        <v>1121931</v>
      </c>
      <c r="D28" s="186">
        <f t="shared" si="15"/>
        <v>2.9822628577124797</v>
      </c>
      <c r="E28" s="180" t="s">
        <v>271</v>
      </c>
      <c r="F28" s="187" t="s">
        <v>400</v>
      </c>
      <c r="G28" s="182"/>
      <c r="J28" s="126"/>
      <c r="M28" s="126"/>
      <c r="T28" s="67">
        <v>1</v>
      </c>
      <c r="U28" s="13">
        <f>$AO28</f>
        <v>2.6835516451391226</v>
      </c>
      <c r="V28" s="19" t="s">
        <v>14</v>
      </c>
      <c r="W28" s="15" t="s">
        <v>15</v>
      </c>
      <c r="X28" s="7"/>
      <c r="Y28" s="16"/>
      <c r="Z28" s="13"/>
      <c r="AA28" s="13"/>
      <c r="AB28" s="12"/>
      <c r="AC28" s="7"/>
      <c r="AD28" s="67">
        <v>2</v>
      </c>
      <c r="AE28" s="13">
        <f>$AO28</f>
        <v>2.6835516451391226</v>
      </c>
      <c r="AF28" s="19" t="s">
        <v>38</v>
      </c>
      <c r="AG28" s="15" t="s">
        <v>39</v>
      </c>
      <c r="AH28" s="7"/>
      <c r="AI28" s="16">
        <f t="shared" ref="AI28:AI34" si="18">AN28</f>
        <v>6</v>
      </c>
      <c r="AJ28" s="66">
        <f t="shared" ref="AJ28:AJ34" si="19">AO28</f>
        <v>2.6835516451391226</v>
      </c>
      <c r="AK28" s="19" t="str">
        <f t="shared" ref="AK28:AL34" si="20">AP28</f>
        <v>)|.</v>
      </c>
      <c r="AL28" s="15" t="str">
        <f t="shared" si="20"/>
        <v>)!'</v>
      </c>
      <c r="AM28" s="19"/>
      <c r="AN28" s="16">
        <f>AN26+1</f>
        <v>6</v>
      </c>
      <c r="AO28" s="7">
        <f>(AN28+AN26)/2*AN$18</f>
        <v>2.6835516451391226</v>
      </c>
      <c r="AP28" s="19" t="s">
        <v>271</v>
      </c>
      <c r="AQ28" s="15" t="s">
        <v>272</v>
      </c>
    </row>
    <row r="29" spans="1:48" ht="13.5">
      <c r="A29" s="141" t="s">
        <v>94</v>
      </c>
      <c r="B29" s="141">
        <f>2^9</f>
        <v>512</v>
      </c>
      <c r="C29" s="142">
        <f>3^3*19</f>
        <v>513</v>
      </c>
      <c r="D29" s="143">
        <f t="shared" si="15"/>
        <v>3.3780187284648457</v>
      </c>
      <c r="E29" s="144" t="s">
        <v>38</v>
      </c>
      <c r="F29" s="170" t="s">
        <v>94</v>
      </c>
      <c r="G29" s="171"/>
      <c r="H29" s="170" t="s">
        <v>94</v>
      </c>
      <c r="I29" s="172"/>
      <c r="J29" s="171"/>
      <c r="K29" s="170" t="s">
        <v>94</v>
      </c>
      <c r="L29" s="172"/>
      <c r="M29" s="171"/>
      <c r="T29" s="67"/>
      <c r="U29" s="13"/>
      <c r="V29" s="13"/>
      <c r="W29" s="12"/>
      <c r="X29" s="7"/>
      <c r="Y29" s="16"/>
      <c r="Z29" s="13"/>
      <c r="AA29" s="13"/>
      <c r="AB29" s="12"/>
      <c r="AC29" s="7"/>
      <c r="AD29" s="16"/>
      <c r="AE29" s="13"/>
      <c r="AF29" s="13"/>
      <c r="AG29" s="22"/>
      <c r="AH29" s="7"/>
      <c r="AI29" s="16">
        <f t="shared" si="18"/>
        <v>7</v>
      </c>
      <c r="AJ29" s="66">
        <f t="shared" si="19"/>
        <v>3.1714701260735088</v>
      </c>
      <c r="AK29" s="19" t="str">
        <f t="shared" si="20"/>
        <v>)|</v>
      </c>
      <c r="AL29" s="15" t="str">
        <f t="shared" si="20"/>
        <v>)!</v>
      </c>
      <c r="AM29" s="19"/>
      <c r="AN29" s="16">
        <f t="shared" ref="AN29:AN34" si="21">AN28+1</f>
        <v>7</v>
      </c>
      <c r="AO29" s="7">
        <f t="shared" ref="AO29:AO34" si="22">(AN29+AN28)/2*AN$18</f>
        <v>3.1714701260735088</v>
      </c>
      <c r="AP29" s="19" t="s">
        <v>38</v>
      </c>
      <c r="AQ29" s="15" t="s">
        <v>39</v>
      </c>
    </row>
    <row r="30" spans="1:48" ht="13.5">
      <c r="A30" s="185" t="s">
        <v>351</v>
      </c>
      <c r="B30" s="185">
        <f>2^3*5*11</f>
        <v>440</v>
      </c>
      <c r="C30" s="185">
        <f>3^2*7^2</f>
        <v>441</v>
      </c>
      <c r="D30" s="186">
        <f t="shared" si="15"/>
        <v>3.9301584394330495</v>
      </c>
      <c r="E30" s="180" t="s">
        <v>273</v>
      </c>
      <c r="F30" s="187" t="s">
        <v>351</v>
      </c>
      <c r="G30" s="182"/>
      <c r="J30" s="126"/>
      <c r="M30" s="126"/>
      <c r="T30" s="67"/>
      <c r="U30" s="13"/>
      <c r="V30" s="13"/>
      <c r="W30" s="12"/>
      <c r="X30" s="7"/>
      <c r="Y30" s="16"/>
      <c r="Z30" s="13"/>
      <c r="AA30" s="13"/>
      <c r="AB30" s="12"/>
      <c r="AC30" s="7"/>
      <c r="AD30" s="16"/>
      <c r="AE30" s="13"/>
      <c r="AF30" s="13"/>
      <c r="AG30" s="22"/>
      <c r="AH30" s="7"/>
      <c r="AI30" s="16">
        <f t="shared" si="18"/>
        <v>8</v>
      </c>
      <c r="AJ30" s="66">
        <f t="shared" si="19"/>
        <v>3.6593886070078945</v>
      </c>
      <c r="AK30" s="19" t="str">
        <f t="shared" si="20"/>
        <v>)|'</v>
      </c>
      <c r="AL30" s="15" t="str">
        <f t="shared" si="20"/>
        <v>)!.</v>
      </c>
      <c r="AM30" s="19"/>
      <c r="AN30" s="16">
        <f t="shared" si="21"/>
        <v>8</v>
      </c>
      <c r="AO30" s="7">
        <f t="shared" si="22"/>
        <v>3.6593886070078945</v>
      </c>
      <c r="AP30" s="19" t="s">
        <v>273</v>
      </c>
      <c r="AQ30" s="15" t="s">
        <v>274</v>
      </c>
    </row>
    <row r="31" spans="1:48" ht="13.5">
      <c r="A31" s="185" t="s">
        <v>350</v>
      </c>
      <c r="B31" s="185">
        <f>2^7*3</f>
        <v>384</v>
      </c>
      <c r="C31" s="185">
        <f>5*7*11</f>
        <v>385</v>
      </c>
      <c r="D31" s="186">
        <f t="shared" si="15"/>
        <v>4.5025618333291639</v>
      </c>
      <c r="E31" s="180" t="s">
        <v>275</v>
      </c>
      <c r="F31" s="187" t="s">
        <v>350</v>
      </c>
      <c r="G31" s="182"/>
      <c r="J31" s="126"/>
      <c r="M31" s="126"/>
      <c r="T31" s="67"/>
      <c r="U31" s="13"/>
      <c r="V31" s="13"/>
      <c r="W31" s="12"/>
      <c r="X31" s="7"/>
      <c r="Y31" s="16"/>
      <c r="Z31" s="13"/>
      <c r="AA31" s="13"/>
      <c r="AB31" s="12"/>
      <c r="AC31" s="7"/>
      <c r="AD31" s="16"/>
      <c r="AE31" s="13"/>
      <c r="AF31" s="13"/>
      <c r="AG31" s="22"/>
      <c r="AH31" s="7"/>
      <c r="AI31" s="16">
        <f t="shared" si="18"/>
        <v>9</v>
      </c>
      <c r="AJ31" s="66">
        <f t="shared" si="19"/>
        <v>4.1473070879422806</v>
      </c>
      <c r="AK31" s="19" t="str">
        <f t="shared" si="20"/>
        <v>)|''</v>
      </c>
      <c r="AL31" s="15" t="str">
        <f t="shared" si="20"/>
        <v>)!..</v>
      </c>
      <c r="AM31" s="19"/>
      <c r="AN31" s="16">
        <f t="shared" si="21"/>
        <v>9</v>
      </c>
      <c r="AO31" s="7">
        <f t="shared" si="22"/>
        <v>4.1473070879422806</v>
      </c>
      <c r="AP31" s="19" t="s">
        <v>275</v>
      </c>
      <c r="AQ31" s="15" t="s">
        <v>276</v>
      </c>
    </row>
    <row r="32" spans="1:48" ht="13.5">
      <c r="A32" s="188" t="s">
        <v>124</v>
      </c>
      <c r="B32" s="178">
        <f>3^3*13</f>
        <v>351</v>
      </c>
      <c r="C32" s="189">
        <f>2^5*11</f>
        <v>352</v>
      </c>
      <c r="D32" s="179">
        <f t="shared" si="15"/>
        <v>4.9252779992839724</v>
      </c>
      <c r="E32" s="180" t="s">
        <v>136</v>
      </c>
      <c r="F32" s="190" t="s">
        <v>124</v>
      </c>
      <c r="G32" s="182"/>
      <c r="J32" s="126"/>
      <c r="M32" s="126"/>
      <c r="T32" s="67"/>
      <c r="U32" s="13"/>
      <c r="V32" s="13"/>
      <c r="W32" s="12"/>
      <c r="X32" s="7"/>
      <c r="Y32" s="67">
        <v>2</v>
      </c>
      <c r="Z32" s="13">
        <f>$AO32</f>
        <v>4.6352255688766668</v>
      </c>
      <c r="AA32" s="19" t="s">
        <v>14</v>
      </c>
      <c r="AB32" s="15" t="s">
        <v>15</v>
      </c>
      <c r="AC32" s="7"/>
      <c r="AD32" s="67">
        <v>3</v>
      </c>
      <c r="AE32" s="13">
        <f>$AO32</f>
        <v>4.6352255688766668</v>
      </c>
      <c r="AF32" s="19" t="s">
        <v>14</v>
      </c>
      <c r="AG32" s="15" t="s">
        <v>15</v>
      </c>
      <c r="AH32" s="7"/>
      <c r="AI32" s="16">
        <f t="shared" si="18"/>
        <v>10</v>
      </c>
      <c r="AJ32" s="66">
        <f t="shared" si="19"/>
        <v>4.6352255688766668</v>
      </c>
      <c r="AK32" s="19" t="str">
        <f t="shared" si="20"/>
        <v>|(..</v>
      </c>
      <c r="AL32" s="15" t="str">
        <f t="shared" si="20"/>
        <v>!(''</v>
      </c>
      <c r="AM32" s="19"/>
      <c r="AN32" s="16">
        <f t="shared" si="21"/>
        <v>10</v>
      </c>
      <c r="AO32" s="7">
        <f t="shared" si="22"/>
        <v>4.6352255688766668</v>
      </c>
      <c r="AP32" s="19" t="s">
        <v>136</v>
      </c>
      <c r="AQ32" s="15" t="s">
        <v>137</v>
      </c>
    </row>
    <row r="33" spans="1:43" ht="13.5">
      <c r="A33" s="191" t="s">
        <v>401</v>
      </c>
      <c r="B33" s="191">
        <f>2^11*11</f>
        <v>22528</v>
      </c>
      <c r="C33" s="191">
        <f>3^6*31</f>
        <v>22599</v>
      </c>
      <c r="D33" s="186">
        <f t="shared" si="15"/>
        <v>5.4476352918180853</v>
      </c>
      <c r="E33" s="180" t="s">
        <v>277</v>
      </c>
      <c r="F33" s="192" t="s">
        <v>401</v>
      </c>
      <c r="G33" s="182"/>
      <c r="J33" s="126"/>
      <c r="M33" s="126"/>
      <c r="T33" s="67"/>
      <c r="U33" s="13"/>
      <c r="V33" s="13"/>
      <c r="W33" s="12"/>
      <c r="X33" s="7"/>
      <c r="Y33" s="16"/>
      <c r="Z33" s="13"/>
      <c r="AA33" s="13"/>
      <c r="AB33" s="12"/>
      <c r="AC33" s="7"/>
      <c r="AD33" s="16"/>
      <c r="AE33" s="13"/>
      <c r="AF33" s="13"/>
      <c r="AG33" s="22"/>
      <c r="AH33" s="7"/>
      <c r="AI33" s="16">
        <f t="shared" si="18"/>
        <v>11</v>
      </c>
      <c r="AJ33" s="66">
        <f t="shared" si="19"/>
        <v>5.1231440498110521</v>
      </c>
      <c r="AK33" s="19" t="str">
        <f t="shared" si="20"/>
        <v>|(.</v>
      </c>
      <c r="AL33" s="15" t="str">
        <f t="shared" si="20"/>
        <v>!('</v>
      </c>
      <c r="AM33" s="19"/>
      <c r="AN33" s="16">
        <f t="shared" si="21"/>
        <v>11</v>
      </c>
      <c r="AO33" s="7">
        <f t="shared" si="22"/>
        <v>5.1231440498110521</v>
      </c>
      <c r="AP33" s="19" t="s">
        <v>277</v>
      </c>
      <c r="AQ33" s="15" t="s">
        <v>278</v>
      </c>
    </row>
    <row r="34" spans="1:43" ht="13.5">
      <c r="A34" s="138" t="s">
        <v>96</v>
      </c>
      <c r="B34" s="135">
        <f>3^6*7</f>
        <v>5103</v>
      </c>
      <c r="C34" s="135">
        <f>2^10*5</f>
        <v>5120</v>
      </c>
      <c r="D34" s="136">
        <f t="shared" si="15"/>
        <v>5.757802203385201</v>
      </c>
      <c r="E34" s="139" t="s">
        <v>14</v>
      </c>
      <c r="F34" s="166" t="s">
        <v>96</v>
      </c>
      <c r="G34" s="167"/>
      <c r="H34" s="166" t="s">
        <v>96</v>
      </c>
      <c r="I34" s="165"/>
      <c r="J34" s="167"/>
      <c r="K34" s="166" t="s">
        <v>96</v>
      </c>
      <c r="L34" s="165"/>
      <c r="M34" s="167"/>
      <c r="N34" s="166" t="s">
        <v>96</v>
      </c>
      <c r="O34" s="165"/>
      <c r="T34" s="67"/>
      <c r="U34" s="13"/>
      <c r="V34" s="13"/>
      <c r="W34" s="12"/>
      <c r="Y34" s="16"/>
      <c r="Z34" s="13"/>
      <c r="AA34" s="13"/>
      <c r="AB34" s="12"/>
      <c r="AC34" s="7"/>
      <c r="AD34" s="16"/>
      <c r="AE34" s="13"/>
      <c r="AF34" s="13"/>
      <c r="AG34" s="22"/>
      <c r="AH34" s="7"/>
      <c r="AI34" s="16">
        <f t="shared" si="18"/>
        <v>12</v>
      </c>
      <c r="AJ34" s="66">
        <f t="shared" si="19"/>
        <v>5.6110625307454383</v>
      </c>
      <c r="AK34" s="19" t="str">
        <f t="shared" si="20"/>
        <v>|(</v>
      </c>
      <c r="AL34" s="15" t="str">
        <f t="shared" si="20"/>
        <v>!(</v>
      </c>
      <c r="AM34" s="19"/>
      <c r="AN34" s="16">
        <f t="shared" si="21"/>
        <v>12</v>
      </c>
      <c r="AO34" s="7">
        <f t="shared" si="22"/>
        <v>5.6110625307454383</v>
      </c>
      <c r="AP34" s="19" t="s">
        <v>14</v>
      </c>
      <c r="AQ34" s="15" t="s">
        <v>15</v>
      </c>
    </row>
    <row r="35" spans="1:43" ht="13.5">
      <c r="A35" s="199" t="s">
        <v>404</v>
      </c>
      <c r="B35" s="199">
        <f>5^5</f>
        <v>3125</v>
      </c>
      <c r="C35" s="199">
        <f>2^6*7^2</f>
        <v>3136</v>
      </c>
      <c r="D35" s="200">
        <f t="shared" si="15"/>
        <v>6.0832436140757142</v>
      </c>
      <c r="E35" s="201" t="s">
        <v>402</v>
      </c>
      <c r="F35" s="130"/>
      <c r="G35" s="126"/>
      <c r="J35" s="126"/>
      <c r="M35" s="126"/>
      <c r="T35" s="67"/>
      <c r="U35" s="13"/>
      <c r="V35" s="13"/>
      <c r="W35" s="12"/>
      <c r="Y35" s="16"/>
      <c r="Z35" s="13"/>
      <c r="AA35" s="13"/>
      <c r="AB35" s="12"/>
      <c r="AC35" s="7"/>
      <c r="AD35" s="16"/>
      <c r="AE35" s="13"/>
      <c r="AF35" s="13"/>
      <c r="AG35" s="22"/>
      <c r="AH35" s="7"/>
      <c r="AI35" s="62"/>
      <c r="AJ35" s="66"/>
      <c r="AK35" s="19"/>
      <c r="AL35" s="15"/>
      <c r="AM35" s="19"/>
      <c r="AN35" s="62">
        <f>AN34+(AO35-AO34)/$AN$18</f>
        <v>12.634246067893123</v>
      </c>
      <c r="AO35" s="7">
        <f>(D34+D35)/2</f>
        <v>5.9205229087304581</v>
      </c>
      <c r="AP35" s="19" t="s">
        <v>402</v>
      </c>
      <c r="AQ35" s="51" t="s">
        <v>403</v>
      </c>
    </row>
    <row r="36" spans="1:43" ht="13.5">
      <c r="A36" s="185" t="s">
        <v>367</v>
      </c>
      <c r="B36" s="185">
        <f>3^7*5</f>
        <v>10935</v>
      </c>
      <c r="C36" s="185">
        <f>2^5*7^3</f>
        <v>10976</v>
      </c>
      <c r="D36" s="186">
        <f t="shared" si="15"/>
        <v>6.478999484827944</v>
      </c>
      <c r="E36" s="180" t="s">
        <v>279</v>
      </c>
      <c r="F36" s="187" t="s">
        <v>367</v>
      </c>
      <c r="G36" s="182"/>
      <c r="J36" s="126"/>
      <c r="M36" s="126"/>
      <c r="T36" s="67"/>
      <c r="U36" s="13"/>
      <c r="V36" s="13"/>
      <c r="W36" s="12"/>
      <c r="Y36" s="16"/>
      <c r="Z36" s="13"/>
      <c r="AA36" s="13"/>
      <c r="AB36" s="12"/>
      <c r="AC36" s="7"/>
      <c r="AD36" s="16"/>
      <c r="AE36" s="13"/>
      <c r="AF36" s="13"/>
      <c r="AG36" s="22"/>
      <c r="AH36" s="7"/>
      <c r="AI36" s="16">
        <f t="shared" ref="AI36:AJ38" si="23">AN36</f>
        <v>13</v>
      </c>
      <c r="AJ36" s="66">
        <f t="shared" si="23"/>
        <v>6.0989810116798244</v>
      </c>
      <c r="AK36" s="19" t="str">
        <f>AP36</f>
        <v>|('</v>
      </c>
      <c r="AL36" s="15" t="str">
        <f>AQ36</f>
        <v>!(.</v>
      </c>
      <c r="AM36" s="19"/>
      <c r="AN36" s="16">
        <f>AN34+1</f>
        <v>13</v>
      </c>
      <c r="AO36" s="7">
        <f>(AN36+AN34)/2*AN$18</f>
        <v>6.0989810116798244</v>
      </c>
      <c r="AP36" s="19" t="s">
        <v>279</v>
      </c>
      <c r="AQ36" s="15" t="s">
        <v>280</v>
      </c>
    </row>
    <row r="37" spans="1:43" ht="13.5">
      <c r="A37" s="147" t="s">
        <v>361</v>
      </c>
      <c r="B37" s="147">
        <f>3*5*17</f>
        <v>255</v>
      </c>
      <c r="C37" s="147">
        <f>2^8</f>
        <v>256</v>
      </c>
      <c r="D37" s="148">
        <f t="shared" si="15"/>
        <v>6.7758757693704501</v>
      </c>
      <c r="E37" s="149" t="s">
        <v>405</v>
      </c>
      <c r="F37" s="174" t="s">
        <v>361</v>
      </c>
      <c r="G37" s="175"/>
      <c r="H37" s="174" t="s">
        <v>361</v>
      </c>
      <c r="I37" s="176"/>
      <c r="J37" s="175"/>
      <c r="M37" s="126"/>
      <c r="T37" s="67"/>
      <c r="U37" s="13"/>
      <c r="V37" s="13"/>
      <c r="W37" s="12"/>
      <c r="Y37" s="67">
        <v>3</v>
      </c>
      <c r="Z37" s="13">
        <f>$AO37</f>
        <v>6.5868994926142106</v>
      </c>
      <c r="AA37" s="19" t="s">
        <v>30</v>
      </c>
      <c r="AB37" s="15" t="s">
        <v>31</v>
      </c>
      <c r="AC37" s="7"/>
      <c r="AD37" s="67">
        <v>4</v>
      </c>
      <c r="AE37" s="13">
        <f>$AO37</f>
        <v>6.5868994926142106</v>
      </c>
      <c r="AF37" s="19" t="s">
        <v>405</v>
      </c>
      <c r="AG37" s="51" t="s">
        <v>406</v>
      </c>
      <c r="AH37" s="7"/>
      <c r="AI37" s="16">
        <f t="shared" si="23"/>
        <v>14</v>
      </c>
      <c r="AJ37" s="66">
        <f t="shared" si="23"/>
        <v>6.5868994926142106</v>
      </c>
      <c r="AK37" s="19" t="str">
        <f>AP37</f>
        <v>.~|</v>
      </c>
      <c r="AL37" s="15" t="str">
        <f>AQ37</f>
        <v>'~!</v>
      </c>
      <c r="AM37" s="19"/>
      <c r="AN37" s="16">
        <f>AN36+1</f>
        <v>14</v>
      </c>
      <c r="AO37" s="7">
        <f>(AN37+AN36)/2*AN$18</f>
        <v>6.5868994926142106</v>
      </c>
      <c r="AP37" s="19" t="s">
        <v>405</v>
      </c>
      <c r="AQ37" s="51" t="s">
        <v>406</v>
      </c>
    </row>
    <row r="38" spans="1:43" ht="13.5">
      <c r="A38" s="199" t="s">
        <v>353</v>
      </c>
      <c r="B38" s="199">
        <f>2*11^2</f>
        <v>242</v>
      </c>
      <c r="C38" s="199">
        <f>3^5</f>
        <v>243</v>
      </c>
      <c r="D38" s="200">
        <f t="shared" si="15"/>
        <v>7.1391195974238411</v>
      </c>
      <c r="E38" s="201" t="s">
        <v>407</v>
      </c>
      <c r="F38" s="130"/>
      <c r="G38" s="126"/>
      <c r="J38" s="126"/>
      <c r="M38" s="126"/>
      <c r="T38" s="67"/>
      <c r="U38" s="13"/>
      <c r="V38" s="13"/>
      <c r="W38" s="12"/>
      <c r="Y38" s="67"/>
      <c r="Z38" s="13"/>
      <c r="AA38" s="19"/>
      <c r="AB38" s="12"/>
      <c r="AC38" s="7"/>
      <c r="AD38" s="67">
        <v>4.2</v>
      </c>
      <c r="AE38" s="13">
        <f>$AO38</f>
        <v>7.0748179735485959</v>
      </c>
      <c r="AF38" s="4" t="s">
        <v>72</v>
      </c>
      <c r="AG38" s="15" t="s">
        <v>73</v>
      </c>
      <c r="AH38" s="7"/>
      <c r="AI38" s="16">
        <f t="shared" si="23"/>
        <v>15</v>
      </c>
      <c r="AJ38" s="66">
        <f t="shared" si="23"/>
        <v>7.0748179735485959</v>
      </c>
      <c r="AK38" s="19" t="str">
        <f>AP39</f>
        <v>'|(.</v>
      </c>
      <c r="AL38" s="15" t="str">
        <f>AQ39</f>
        <v>.!('</v>
      </c>
      <c r="AM38" s="19"/>
      <c r="AN38" s="16">
        <f>AN37+1</f>
        <v>15</v>
      </c>
      <c r="AO38" s="7">
        <f>(AN38+AN37)/2*AN$18</f>
        <v>7.0748179735485959</v>
      </c>
      <c r="AP38" s="19" t="s">
        <v>407</v>
      </c>
      <c r="AQ38" s="51" t="s">
        <v>408</v>
      </c>
    </row>
    <row r="39" spans="1:43" ht="13.5">
      <c r="A39" s="185" t="s">
        <v>409</v>
      </c>
      <c r="B39" s="185">
        <f>2^4*5^2*7^2</f>
        <v>19600</v>
      </c>
      <c r="C39" s="185">
        <f>3^9</f>
        <v>19683</v>
      </c>
      <c r="D39" s="186">
        <f t="shared" si="15"/>
        <v>7.3157671205673074</v>
      </c>
      <c r="E39" s="183" t="s">
        <v>192</v>
      </c>
      <c r="F39" s="187" t="s">
        <v>409</v>
      </c>
      <c r="G39" s="184"/>
      <c r="J39" s="127"/>
      <c r="M39" s="127"/>
      <c r="T39" s="67"/>
      <c r="U39" s="13"/>
      <c r="V39" s="13"/>
      <c r="W39" s="12"/>
      <c r="Y39" s="67"/>
      <c r="Z39" s="13"/>
      <c r="AA39" s="19"/>
      <c r="AB39" s="12"/>
      <c r="AC39" s="7"/>
      <c r="AD39" s="67"/>
      <c r="AE39" s="13"/>
      <c r="AF39" s="19"/>
      <c r="AG39" s="15"/>
      <c r="AH39" s="7"/>
      <c r="AI39" s="62"/>
      <c r="AJ39" s="66"/>
      <c r="AK39" s="19"/>
      <c r="AL39" s="15"/>
      <c r="AM39" s="19"/>
      <c r="AN39" s="62">
        <f>AN38+(AO39-AO38)/$AN$18</f>
        <v>15.312809191311413</v>
      </c>
      <c r="AO39" s="7">
        <f>(D38+D39)/2</f>
        <v>7.2274433589955738</v>
      </c>
      <c r="AP39" s="4" t="s">
        <v>192</v>
      </c>
      <c r="AQ39" s="15" t="s">
        <v>193</v>
      </c>
    </row>
    <row r="40" spans="1:43" ht="13.5">
      <c r="A40" s="147" t="s">
        <v>97</v>
      </c>
      <c r="B40" s="147">
        <f>2^5*7</f>
        <v>224</v>
      </c>
      <c r="C40" s="147">
        <f>3^2*5^2</f>
        <v>225</v>
      </c>
      <c r="D40" s="148">
        <f t="shared" si="15"/>
        <v>7.7115229913197059</v>
      </c>
      <c r="E40" s="151" t="s">
        <v>72</v>
      </c>
      <c r="F40" s="174" t="s">
        <v>97</v>
      </c>
      <c r="G40" s="177"/>
      <c r="H40" s="174" t="s">
        <v>97</v>
      </c>
      <c r="I40" s="176"/>
      <c r="J40" s="177"/>
      <c r="M40" s="127"/>
      <c r="T40" s="67"/>
      <c r="U40" s="13"/>
      <c r="V40" s="13"/>
      <c r="W40" s="12"/>
      <c r="Y40" s="16"/>
      <c r="Z40" s="13"/>
      <c r="AA40" s="13"/>
      <c r="AB40" s="12"/>
      <c r="AC40" s="7"/>
      <c r="AD40" s="16"/>
      <c r="AE40" s="13"/>
      <c r="AF40" s="13"/>
      <c r="AG40" s="22"/>
      <c r="AH40" s="7"/>
      <c r="AI40" s="16">
        <f t="shared" ref="AI40:AI70" si="24">AN40</f>
        <v>16</v>
      </c>
      <c r="AJ40" s="66">
        <f t="shared" ref="AJ40:AJ47" si="25">AO40</f>
        <v>7.562736454482982</v>
      </c>
      <c r="AK40" s="19" t="str">
        <f>AP40</f>
        <v>'|(</v>
      </c>
      <c r="AL40" s="15" t="str">
        <f>AQ40</f>
        <v>.!(</v>
      </c>
      <c r="AM40" s="19"/>
      <c r="AN40" s="16">
        <f>AN38+1</f>
        <v>16</v>
      </c>
      <c r="AO40" s="7">
        <f>(AN40+AN38)/2*AN$18</f>
        <v>7.562736454482982</v>
      </c>
      <c r="AP40" s="4" t="s">
        <v>72</v>
      </c>
      <c r="AQ40" s="15" t="s">
        <v>73</v>
      </c>
    </row>
    <row r="41" spans="1:43" ht="13.5">
      <c r="A41" s="199" t="s">
        <v>412</v>
      </c>
      <c r="B41" s="199">
        <f>2^9*5^4</f>
        <v>320000</v>
      </c>
      <c r="C41" s="199">
        <f>3^8*7^2</f>
        <v>321489</v>
      </c>
      <c r="D41" s="200">
        <f t="shared" si="15"/>
        <v>8.036964402009799</v>
      </c>
      <c r="E41" s="201" t="s">
        <v>410</v>
      </c>
      <c r="F41" s="130"/>
      <c r="G41" s="126"/>
      <c r="J41" s="126"/>
      <c r="M41" s="126"/>
      <c r="T41" s="67"/>
      <c r="U41" s="13"/>
      <c r="V41" s="13"/>
      <c r="W41" s="12"/>
      <c r="Y41" s="16"/>
      <c r="Z41" s="13"/>
      <c r="AA41" s="13"/>
      <c r="AB41" s="12"/>
      <c r="AC41" s="7"/>
      <c r="AD41" s="16"/>
      <c r="AE41" s="13"/>
      <c r="AF41" s="13"/>
      <c r="AG41" s="22"/>
      <c r="AH41" s="7"/>
      <c r="AI41" s="62"/>
      <c r="AJ41" s="66"/>
      <c r="AK41" s="19"/>
      <c r="AL41" s="15"/>
      <c r="AM41" s="19"/>
      <c r="AN41" s="62">
        <f>AN40+(AO41-AO40)/$AN$18</f>
        <v>16.63844116251801</v>
      </c>
      <c r="AO41" s="7">
        <f>(D40+D41)/2</f>
        <v>7.8742436966647524</v>
      </c>
      <c r="AP41" s="19" t="s">
        <v>410</v>
      </c>
      <c r="AQ41" s="15" t="s">
        <v>411</v>
      </c>
    </row>
    <row r="42" spans="1:43" ht="13.5">
      <c r="A42" s="199" t="s">
        <v>413</v>
      </c>
      <c r="B42" s="199">
        <f>2^6*3^5</f>
        <v>15552</v>
      </c>
      <c r="C42" s="199">
        <f>5^6</f>
        <v>15625</v>
      </c>
      <c r="D42" s="200">
        <f t="shared" si="15"/>
        <v>8.107278862072004</v>
      </c>
      <c r="E42" s="202" t="s">
        <v>345</v>
      </c>
      <c r="F42" s="133"/>
      <c r="G42" s="127"/>
      <c r="J42" s="127"/>
      <c r="M42" s="127"/>
      <c r="T42" s="67">
        <v>2</v>
      </c>
      <c r="U42" s="13">
        <f>$AO42</f>
        <v>8.0506549354173682</v>
      </c>
      <c r="V42" s="19" t="str">
        <f>IF($N$6&gt;10,")|(","~|")</f>
        <v>)|(</v>
      </c>
      <c r="W42" s="15" t="str">
        <f>IF($N$6&gt;10,")!(","~!")</f>
        <v>)!(</v>
      </c>
      <c r="Y42" s="16"/>
      <c r="Z42" s="13"/>
      <c r="AA42" s="13"/>
      <c r="AB42" s="12"/>
      <c r="AC42" s="7"/>
      <c r="AD42" s="67">
        <v>4.5999999999999996</v>
      </c>
      <c r="AE42" s="13">
        <f>$AO42</f>
        <v>8.0506549354173682</v>
      </c>
      <c r="AF42" s="19" t="s">
        <v>30</v>
      </c>
      <c r="AG42" s="15" t="s">
        <v>31</v>
      </c>
      <c r="AH42" s="7"/>
      <c r="AI42" s="16">
        <f t="shared" si="24"/>
        <v>17</v>
      </c>
      <c r="AJ42" s="66">
        <f t="shared" si="25"/>
        <v>8.0506549354173682</v>
      </c>
      <c r="AK42" s="19" t="str">
        <f>AP43</f>
        <v>~|.</v>
      </c>
      <c r="AL42" s="15" t="str">
        <f>AQ43</f>
        <v>~!'</v>
      </c>
      <c r="AM42" s="19"/>
      <c r="AN42" s="16">
        <f>AN40+1</f>
        <v>17</v>
      </c>
      <c r="AO42" s="7">
        <f>(AN42+AN40)/2*AN$18</f>
        <v>8.0506549354173682</v>
      </c>
      <c r="AP42" s="4" t="s">
        <v>345</v>
      </c>
      <c r="AQ42" s="15" t="s">
        <v>346</v>
      </c>
    </row>
    <row r="43" spans="1:43" ht="13.5">
      <c r="A43" s="185" t="s">
        <v>249</v>
      </c>
      <c r="B43" s="185">
        <f>2^10</f>
        <v>1024</v>
      </c>
      <c r="C43" s="185">
        <f>3*7^3</f>
        <v>1029</v>
      </c>
      <c r="D43" s="186">
        <f t="shared" si="15"/>
        <v>8.4327202727622055</v>
      </c>
      <c r="E43" s="180" t="s">
        <v>414</v>
      </c>
      <c r="F43" s="187" t="s">
        <v>249</v>
      </c>
      <c r="G43" s="182"/>
      <c r="J43" s="126"/>
      <c r="M43" s="126"/>
      <c r="T43" s="67"/>
      <c r="U43" s="13"/>
      <c r="V43" s="13"/>
      <c r="W43" s="12"/>
      <c r="Y43" s="16"/>
      <c r="Z43" s="13"/>
      <c r="AA43" s="13"/>
      <c r="AB43" s="12"/>
      <c r="AC43" s="7"/>
      <c r="AD43" s="16"/>
      <c r="AE43" s="13"/>
      <c r="AF43" s="13"/>
      <c r="AG43" s="22"/>
      <c r="AH43" s="7"/>
      <c r="AI43" s="62"/>
      <c r="AJ43" s="66"/>
      <c r="AK43" s="19"/>
      <c r="AL43" s="15"/>
      <c r="AM43" s="19"/>
      <c r="AN43" s="62">
        <f>AN42+(AO43-AO42)/$AN$18</f>
        <v>17.449551801316652</v>
      </c>
      <c r="AO43" s="7">
        <f>(D42+D43)/2</f>
        <v>8.2699995674171056</v>
      </c>
      <c r="AP43" s="19" t="s">
        <v>414</v>
      </c>
      <c r="AQ43" s="15" t="s">
        <v>415</v>
      </c>
    </row>
    <row r="44" spans="1:43" ht="13.5">
      <c r="A44" s="141" t="s">
        <v>125</v>
      </c>
      <c r="B44" s="141">
        <f>2^7*17</f>
        <v>2176</v>
      </c>
      <c r="C44" s="141">
        <f>3^7</f>
        <v>2187</v>
      </c>
      <c r="D44" s="143">
        <f t="shared" si="15"/>
        <v>8.7295965573047472</v>
      </c>
      <c r="E44" s="144" t="s">
        <v>30</v>
      </c>
      <c r="F44" s="170" t="s">
        <v>125</v>
      </c>
      <c r="G44" s="171"/>
      <c r="H44" s="170" t="s">
        <v>125</v>
      </c>
      <c r="I44" s="172"/>
      <c r="J44" s="171"/>
      <c r="K44" s="170" t="s">
        <v>125</v>
      </c>
      <c r="L44" s="172"/>
      <c r="M44" s="171"/>
      <c r="T44" s="67"/>
      <c r="U44" s="13"/>
      <c r="V44" s="19"/>
      <c r="W44" s="12"/>
      <c r="Y44" s="16"/>
      <c r="Z44" s="13"/>
      <c r="AA44" s="13"/>
      <c r="AB44" s="12"/>
      <c r="AC44" s="7"/>
      <c r="AD44" s="16"/>
      <c r="AE44" s="13"/>
      <c r="AF44" s="13"/>
      <c r="AG44" s="22"/>
      <c r="AH44" s="7"/>
      <c r="AI44" s="16">
        <f t="shared" si="24"/>
        <v>18</v>
      </c>
      <c r="AJ44" s="66">
        <f t="shared" si="25"/>
        <v>8.5385734163517544</v>
      </c>
      <c r="AK44" s="19" t="str">
        <f>AP44</f>
        <v>~|</v>
      </c>
      <c r="AL44" s="15" t="str">
        <f>AQ44</f>
        <v>~!</v>
      </c>
      <c r="AM44" s="19"/>
      <c r="AN44" s="16">
        <f>AN42+1</f>
        <v>18</v>
      </c>
      <c r="AO44" s="7">
        <f>(AN44+AN42)/2*AN$18</f>
        <v>8.5385734163517544</v>
      </c>
      <c r="AP44" s="19" t="s">
        <v>30</v>
      </c>
      <c r="AQ44" s="15" t="s">
        <v>31</v>
      </c>
    </row>
    <row r="45" spans="1:43" ht="13.5">
      <c r="A45" s="199" t="s">
        <v>418</v>
      </c>
      <c r="B45" s="199">
        <f>3*5*13</f>
        <v>195</v>
      </c>
      <c r="C45" s="199">
        <f>2^2*7^2</f>
        <v>196</v>
      </c>
      <c r="D45" s="200">
        <f t="shared" si="15"/>
        <v>8.8554364387169997</v>
      </c>
      <c r="E45" s="201" t="s">
        <v>416</v>
      </c>
      <c r="F45" s="130"/>
      <c r="G45" s="126"/>
      <c r="J45" s="126"/>
      <c r="M45" s="126"/>
      <c r="T45" s="67"/>
      <c r="U45" s="13"/>
      <c r="V45" s="19"/>
      <c r="W45" s="12"/>
      <c r="Y45" s="16"/>
      <c r="Z45" s="13"/>
      <c r="AA45" s="13"/>
      <c r="AB45" s="12"/>
      <c r="AC45" s="7"/>
      <c r="AD45" s="67"/>
      <c r="AE45" s="13"/>
      <c r="AF45" s="19"/>
      <c r="AG45" s="15"/>
      <c r="AH45" s="7"/>
      <c r="AI45" s="62"/>
      <c r="AJ45" s="66"/>
      <c r="AK45" s="19"/>
      <c r="AL45" s="15"/>
      <c r="AM45" s="19"/>
      <c r="AN45" s="62">
        <f>AN44+(AO45-AO44)/$AN$18</f>
        <v>18.520462109106436</v>
      </c>
      <c r="AO45" s="7">
        <f>(D44+D45)/2</f>
        <v>8.7925164980108725</v>
      </c>
      <c r="AP45" s="19" t="s">
        <v>416</v>
      </c>
      <c r="AQ45" s="15" t="s">
        <v>417</v>
      </c>
    </row>
    <row r="46" spans="1:43" ht="13.5">
      <c r="A46" s="185" t="s">
        <v>419</v>
      </c>
      <c r="B46" s="185">
        <f>2^17</f>
        <v>131072</v>
      </c>
      <c r="C46" s="185">
        <f>3^2*11^4</f>
        <v>131769</v>
      </c>
      <c r="D46" s="186">
        <f t="shared" si="15"/>
        <v>9.1817711898016654</v>
      </c>
      <c r="E46" s="180" t="s">
        <v>133</v>
      </c>
      <c r="F46" s="187" t="s">
        <v>419</v>
      </c>
      <c r="G46" s="182"/>
      <c r="J46" s="126"/>
      <c r="M46" s="126"/>
      <c r="T46" s="67"/>
      <c r="U46" s="13"/>
      <c r="V46" s="13"/>
      <c r="W46" s="12"/>
      <c r="Y46" s="67">
        <v>4</v>
      </c>
      <c r="Z46" s="13">
        <f>$AO46</f>
        <v>9.0264918972861405</v>
      </c>
      <c r="AA46" s="19" t="s">
        <v>60</v>
      </c>
      <c r="AB46" s="15" t="s">
        <v>61</v>
      </c>
      <c r="AC46" s="7"/>
      <c r="AD46" s="16">
        <v>5</v>
      </c>
      <c r="AE46" s="13">
        <f>$AO46</f>
        <v>9.0264918972861405</v>
      </c>
      <c r="AF46" s="19" t="s">
        <v>60</v>
      </c>
      <c r="AG46" s="15" t="s">
        <v>61</v>
      </c>
      <c r="AH46" s="7"/>
      <c r="AI46" s="16">
        <f t="shared" si="24"/>
        <v>19</v>
      </c>
      <c r="AJ46" s="66">
        <f t="shared" si="25"/>
        <v>9.0264918972861405</v>
      </c>
      <c r="AK46" s="19" t="str">
        <f>AP46</f>
        <v>)|(.</v>
      </c>
      <c r="AL46" s="15" t="str">
        <f>AQ46</f>
        <v>)!('</v>
      </c>
      <c r="AM46" s="19"/>
      <c r="AN46" s="16">
        <f>AN44+1</f>
        <v>19</v>
      </c>
      <c r="AO46" s="7">
        <f>(AN46+AN44)/2*AN$18</f>
        <v>9.0264918972861405</v>
      </c>
      <c r="AP46" s="19" t="s">
        <v>133</v>
      </c>
      <c r="AQ46" s="15" t="s">
        <v>134</v>
      </c>
    </row>
    <row r="47" spans="1:43" ht="13.5">
      <c r="A47" s="199" t="s">
        <v>422</v>
      </c>
      <c r="B47" s="199">
        <f>2^20*7</f>
        <v>7340032</v>
      </c>
      <c r="C47" s="199">
        <f>3^10*5^3</f>
        <v>7381125</v>
      </c>
      <c r="D47" s="200">
        <f t="shared" si="15"/>
        <v>9.665243779253812</v>
      </c>
      <c r="E47" s="201" t="s">
        <v>420</v>
      </c>
      <c r="F47" s="133"/>
      <c r="G47" s="126"/>
      <c r="J47" s="126"/>
      <c r="M47" s="126"/>
      <c r="T47" s="67"/>
      <c r="U47" s="13"/>
      <c r="V47" s="13"/>
      <c r="W47" s="12"/>
      <c r="Y47" s="16"/>
      <c r="Z47" s="13"/>
      <c r="AA47" s="13"/>
      <c r="AB47" s="12"/>
      <c r="AC47" s="7"/>
      <c r="AD47" s="16"/>
      <c r="AE47" s="13"/>
      <c r="AF47" s="13"/>
      <c r="AG47" s="22"/>
      <c r="AH47" s="7"/>
      <c r="AI47" s="16">
        <f t="shared" si="24"/>
        <v>20</v>
      </c>
      <c r="AJ47" s="66">
        <f t="shared" si="25"/>
        <v>9.5144103782205267</v>
      </c>
      <c r="AK47" s="19" t="str">
        <f>AP48</f>
        <v>)|(</v>
      </c>
      <c r="AL47" s="15" t="str">
        <f>AQ48</f>
        <v>)!(</v>
      </c>
      <c r="AM47" s="19"/>
      <c r="AN47" s="16">
        <f>AN46+1</f>
        <v>20</v>
      </c>
      <c r="AO47" s="7">
        <f>(AN47+AN46)/2*AN$18</f>
        <v>9.5144103782205267</v>
      </c>
      <c r="AP47" s="19" t="s">
        <v>420</v>
      </c>
      <c r="AQ47" s="15" t="s">
        <v>421</v>
      </c>
    </row>
    <row r="48" spans="1:43" ht="13.5">
      <c r="A48" s="135" t="s">
        <v>98</v>
      </c>
      <c r="B48" s="135">
        <f>3^4*11</f>
        <v>891</v>
      </c>
      <c r="C48" s="140">
        <f>2^7*7</f>
        <v>896</v>
      </c>
      <c r="D48" s="136">
        <f t="shared" si="15"/>
        <v>9.6879606428186964</v>
      </c>
      <c r="E48" s="139" t="s">
        <v>60</v>
      </c>
      <c r="F48" s="163" t="s">
        <v>98</v>
      </c>
      <c r="G48" s="167"/>
      <c r="H48" s="163" t="s">
        <v>98</v>
      </c>
      <c r="I48" s="165"/>
      <c r="J48" s="167"/>
      <c r="K48" s="163" t="s">
        <v>98</v>
      </c>
      <c r="L48" s="165"/>
      <c r="M48" s="167"/>
      <c r="N48" s="163" t="s">
        <v>98</v>
      </c>
      <c r="O48" s="165"/>
      <c r="T48" s="67"/>
      <c r="U48" s="13"/>
      <c r="V48" s="13"/>
      <c r="W48" s="12"/>
      <c r="Y48" s="16"/>
      <c r="Z48" s="13"/>
      <c r="AA48" s="13"/>
      <c r="AB48" s="12"/>
      <c r="AC48" s="7"/>
      <c r="AD48" s="16"/>
      <c r="AE48" s="13"/>
      <c r="AF48" s="13"/>
      <c r="AG48" s="22"/>
      <c r="AH48" s="7"/>
      <c r="AI48" s="62"/>
      <c r="AJ48" s="66"/>
      <c r="AK48" s="19"/>
      <c r="AL48" s="15"/>
      <c r="AM48" s="19"/>
      <c r="AN48" s="62">
        <f>AN47+(AO48-AO47)/$AN$18</f>
        <v>20.332415842304481</v>
      </c>
      <c r="AO48" s="7">
        <f>(D47+D48)/2</f>
        <v>9.6766022110362542</v>
      </c>
      <c r="AP48" s="19" t="s">
        <v>60</v>
      </c>
      <c r="AQ48" s="15" t="s">
        <v>61</v>
      </c>
    </row>
    <row r="49" spans="1:43" ht="13.5">
      <c r="A49" s="185" t="s">
        <v>368</v>
      </c>
      <c r="B49" s="185">
        <f>3^7</f>
        <v>2187</v>
      </c>
      <c r="C49" s="185">
        <f>2^3*5^2*11</f>
        <v>2200</v>
      </c>
      <c r="D49" s="186">
        <f t="shared" si="15"/>
        <v>10.260364036714352</v>
      </c>
      <c r="E49" s="180" t="s">
        <v>251</v>
      </c>
      <c r="F49" s="187" t="s">
        <v>368</v>
      </c>
      <c r="G49" s="182"/>
      <c r="J49" s="126"/>
      <c r="M49" s="126"/>
      <c r="T49" s="67"/>
      <c r="U49" s="13"/>
      <c r="V49" s="13"/>
      <c r="W49" s="12"/>
      <c r="Y49" s="16"/>
      <c r="Z49" s="13"/>
      <c r="AA49" s="13"/>
      <c r="AB49" s="12"/>
      <c r="AC49" s="7"/>
      <c r="AD49" s="16"/>
      <c r="AE49" s="13"/>
      <c r="AF49" s="13"/>
      <c r="AG49" s="22"/>
      <c r="AH49" s="7"/>
      <c r="AI49" s="16">
        <f t="shared" si="24"/>
        <v>21</v>
      </c>
      <c r="AJ49" s="66">
        <f t="shared" ref="AJ49:AJ138" si="26">AO49</f>
        <v>10.002328859154911</v>
      </c>
      <c r="AK49" s="19" t="str">
        <f t="shared" ref="AK49:AL51" si="27">AP49</f>
        <v>)|('</v>
      </c>
      <c r="AL49" s="15" t="str">
        <f t="shared" si="27"/>
        <v>)!(.</v>
      </c>
      <c r="AM49" s="19"/>
      <c r="AN49" s="16">
        <f>AN47+1</f>
        <v>21</v>
      </c>
      <c r="AO49" s="7">
        <f>(AN49+AN47)/2*AN$18</f>
        <v>10.002328859154911</v>
      </c>
      <c r="AP49" s="19" t="s">
        <v>251</v>
      </c>
      <c r="AQ49" s="15" t="s">
        <v>252</v>
      </c>
    </row>
    <row r="50" spans="1:43" ht="13.5">
      <c r="A50" s="185" t="s">
        <v>423</v>
      </c>
      <c r="B50" s="185">
        <f>2^13*13</f>
        <v>106496</v>
      </c>
      <c r="C50" s="185">
        <f>3^7*7^2</f>
        <v>107163</v>
      </c>
      <c r="D50" s="186">
        <f t="shared" si="15"/>
        <v>10.809157226651013</v>
      </c>
      <c r="E50" s="180" t="s">
        <v>253</v>
      </c>
      <c r="F50" s="187" t="s">
        <v>423</v>
      </c>
      <c r="G50" s="182"/>
      <c r="J50" s="126"/>
      <c r="M50" s="126"/>
      <c r="T50" s="67"/>
      <c r="U50" s="13"/>
      <c r="V50" s="13"/>
      <c r="W50" s="12"/>
      <c r="Y50" s="16"/>
      <c r="Z50" s="13"/>
      <c r="AA50" s="13"/>
      <c r="AB50" s="12"/>
      <c r="AC50" s="7"/>
      <c r="AD50" s="16"/>
      <c r="AE50" s="13"/>
      <c r="AF50" s="13"/>
      <c r="AG50" s="22"/>
      <c r="AH50" s="7"/>
      <c r="AI50" s="16">
        <f t="shared" si="24"/>
        <v>22</v>
      </c>
      <c r="AJ50" s="66">
        <f t="shared" si="26"/>
        <v>10.490247340089297</v>
      </c>
      <c r="AK50" s="19" t="str">
        <f t="shared" si="27"/>
        <v>)|(''</v>
      </c>
      <c r="AL50" s="15" t="str">
        <f t="shared" si="27"/>
        <v>)!(..</v>
      </c>
      <c r="AM50" s="19"/>
      <c r="AN50" s="16">
        <f>AN49+1</f>
        <v>22</v>
      </c>
      <c r="AO50" s="7">
        <f>(AN50+AN49)/2*AN$18</f>
        <v>10.490247340089297</v>
      </c>
      <c r="AP50" s="19" t="s">
        <v>253</v>
      </c>
      <c r="AQ50" s="15" t="s">
        <v>254</v>
      </c>
    </row>
    <row r="51" spans="1:43" ht="13.5">
      <c r="A51" s="185" t="s">
        <v>424</v>
      </c>
      <c r="B51" s="185">
        <f>3^5*5^2*7^3</f>
        <v>2083725</v>
      </c>
      <c r="C51" s="185">
        <f>2^21</f>
        <v>2097152</v>
      </c>
      <c r="D51" s="186">
        <f t="shared" si="15"/>
        <v>11.119848536018317</v>
      </c>
      <c r="E51" s="183" t="s">
        <v>281</v>
      </c>
      <c r="F51" s="187" t="s">
        <v>424</v>
      </c>
      <c r="G51" s="184"/>
      <c r="J51" s="127"/>
      <c r="M51" s="127"/>
      <c r="T51" s="67"/>
      <c r="U51" s="13"/>
      <c r="V51" s="13"/>
      <c r="W51" s="12"/>
      <c r="X51" s="1"/>
      <c r="Y51" s="67">
        <v>5</v>
      </c>
      <c r="Z51" s="13">
        <f>$AO51</f>
        <v>10.978165821023683</v>
      </c>
      <c r="AA51" s="19" t="s">
        <v>68</v>
      </c>
      <c r="AB51" s="15" t="s">
        <v>69</v>
      </c>
      <c r="AC51" s="1"/>
      <c r="AD51" s="44">
        <v>6</v>
      </c>
      <c r="AE51" s="13">
        <f>$AO51</f>
        <v>10.978165821023683</v>
      </c>
      <c r="AF51" s="4" t="s">
        <v>74</v>
      </c>
      <c r="AG51" s="15" t="s">
        <v>75</v>
      </c>
      <c r="AH51" s="7"/>
      <c r="AI51" s="16">
        <f t="shared" si="24"/>
        <v>23</v>
      </c>
      <c r="AJ51" s="66">
        <f t="shared" si="26"/>
        <v>10.978165821023683</v>
      </c>
      <c r="AK51" s="19" t="str">
        <f t="shared" si="27"/>
        <v>')|(.</v>
      </c>
      <c r="AL51" s="15" t="str">
        <f t="shared" si="27"/>
        <v>.)!('</v>
      </c>
      <c r="AM51" s="19"/>
      <c r="AN51" s="16">
        <f>AN50+1</f>
        <v>23</v>
      </c>
      <c r="AO51" s="7">
        <f>(AN51+AN50)/2*AN$18</f>
        <v>10.978165821023683</v>
      </c>
      <c r="AP51" s="4" t="s">
        <v>281</v>
      </c>
      <c r="AQ51" s="15" t="s">
        <v>282</v>
      </c>
    </row>
    <row r="52" spans="1:43" ht="13.5">
      <c r="A52" s="199" t="s">
        <v>140</v>
      </c>
      <c r="B52" s="203">
        <f>2^3*19</f>
        <v>152</v>
      </c>
      <c r="C52" s="204">
        <f>3^2*17</f>
        <v>153</v>
      </c>
      <c r="D52" s="200">
        <f t="shared" ref="D52:D83" si="28">1200*LN($C52/$B52)/LN(2)</f>
        <v>11.352395098879471</v>
      </c>
      <c r="E52" s="201" t="s">
        <v>425</v>
      </c>
      <c r="F52" s="130"/>
      <c r="G52" s="126"/>
      <c r="J52" s="126"/>
      <c r="M52" s="126"/>
      <c r="T52" s="67"/>
      <c r="U52" s="13"/>
      <c r="V52" s="13"/>
      <c r="W52" s="12"/>
      <c r="X52" s="1"/>
      <c r="Y52" s="67"/>
      <c r="Z52" s="13"/>
      <c r="AA52" s="19"/>
      <c r="AB52" s="12"/>
      <c r="AC52" s="1"/>
      <c r="AD52" s="44"/>
      <c r="AE52" s="13"/>
      <c r="AF52" s="4"/>
      <c r="AG52" s="51"/>
      <c r="AH52" s="7"/>
      <c r="AI52" s="62"/>
      <c r="AJ52" s="66"/>
      <c r="AK52" s="19"/>
      <c r="AL52" s="15"/>
      <c r="AM52" s="19"/>
      <c r="AN52" s="62">
        <f>AN51+(AO52-AO51)/$AN$18</f>
        <v>23.528686668992762</v>
      </c>
      <c r="AO52" s="7">
        <f>(D51+D52)/2</f>
        <v>11.236121817448893</v>
      </c>
      <c r="AP52" s="19" t="s">
        <v>425</v>
      </c>
      <c r="AQ52" s="15" t="s">
        <v>426</v>
      </c>
    </row>
    <row r="53" spans="1:43" ht="13.5">
      <c r="A53" s="147" t="s">
        <v>126</v>
      </c>
      <c r="B53" s="147">
        <f>2^8*11</f>
        <v>2816</v>
      </c>
      <c r="C53" s="147">
        <f>3^4*5*7</f>
        <v>2835</v>
      </c>
      <c r="D53" s="148">
        <f t="shared" si="28"/>
        <v>11.641681430752847</v>
      </c>
      <c r="E53" s="151" t="s">
        <v>74</v>
      </c>
      <c r="F53" s="174" t="s">
        <v>126</v>
      </c>
      <c r="G53" s="177"/>
      <c r="H53" s="174" t="s">
        <v>126</v>
      </c>
      <c r="I53" s="176"/>
      <c r="J53" s="177"/>
      <c r="M53" s="127"/>
      <c r="T53" s="67"/>
      <c r="U53" s="13"/>
      <c r="V53" s="13"/>
      <c r="W53" s="12"/>
      <c r="X53" s="1"/>
      <c r="Y53" s="16"/>
      <c r="Z53" s="13"/>
      <c r="AA53" s="13"/>
      <c r="AB53" s="12"/>
      <c r="AC53" s="1"/>
      <c r="AD53" s="16"/>
      <c r="AE53" s="13"/>
      <c r="AF53" s="13"/>
      <c r="AG53" s="22"/>
      <c r="AH53" s="7"/>
      <c r="AI53" s="16">
        <f t="shared" si="24"/>
        <v>24</v>
      </c>
      <c r="AJ53" s="66">
        <f t="shared" si="26"/>
        <v>11.46608430195807</v>
      </c>
      <c r="AK53" s="19" t="str">
        <f>AP53</f>
        <v>')|(</v>
      </c>
      <c r="AL53" s="15" t="str">
        <f>AQ53</f>
        <v>.)!(</v>
      </c>
      <c r="AM53" s="19"/>
      <c r="AN53" s="16">
        <f>AN51+1</f>
        <v>24</v>
      </c>
      <c r="AO53" s="7">
        <f>(AN53+AN51)/2*AN$18</f>
        <v>11.46608430195807</v>
      </c>
      <c r="AP53" s="4" t="s">
        <v>74</v>
      </c>
      <c r="AQ53" s="15" t="s">
        <v>75</v>
      </c>
    </row>
    <row r="54" spans="1:43" ht="13.5">
      <c r="A54" s="203" t="s">
        <v>429</v>
      </c>
      <c r="B54" s="203">
        <f>2^11*5*7</f>
        <v>71680</v>
      </c>
      <c r="C54" s="203">
        <f>3^8*11</f>
        <v>72171</v>
      </c>
      <c r="D54" s="200">
        <f t="shared" si="28"/>
        <v>11.818328953896335</v>
      </c>
      <c r="E54" s="201" t="s">
        <v>427</v>
      </c>
      <c r="F54" s="11"/>
      <c r="G54" s="126"/>
      <c r="J54" s="126"/>
      <c r="M54" s="126"/>
      <c r="T54" s="67"/>
      <c r="U54" s="13"/>
      <c r="V54" s="13"/>
      <c r="W54" s="12"/>
      <c r="X54" s="1"/>
      <c r="Y54" s="16"/>
      <c r="Z54" s="13"/>
      <c r="AA54" s="13"/>
      <c r="AB54" s="12"/>
      <c r="AC54" s="1"/>
      <c r="AD54" s="16"/>
      <c r="AE54" s="13"/>
      <c r="AF54" s="13"/>
      <c r="AG54" s="22"/>
      <c r="AH54" s="7"/>
      <c r="AI54" s="62"/>
      <c r="AJ54" s="66"/>
      <c r="AK54" s="19"/>
      <c r="AL54" s="15"/>
      <c r="AM54" s="19"/>
      <c r="AN54" s="62">
        <f>AN53+(AO54-AO53)/$AN$18</f>
        <v>24.540911854498933</v>
      </c>
      <c r="AO54" s="7">
        <f>(D53+D54)/2</f>
        <v>11.73000519232459</v>
      </c>
      <c r="AP54" s="19" t="s">
        <v>427</v>
      </c>
      <c r="AQ54" s="15" t="s">
        <v>428</v>
      </c>
    </row>
    <row r="55" spans="1:43" ht="13.5">
      <c r="A55" s="141" t="s">
        <v>135</v>
      </c>
      <c r="B55" s="141">
        <f>11*13</f>
        <v>143</v>
      </c>
      <c r="C55" s="141">
        <f>2^4*3^2</f>
        <v>144</v>
      </c>
      <c r="D55" s="143">
        <f t="shared" si="28"/>
        <v>12.064397596707702</v>
      </c>
      <c r="E55" s="144" t="s">
        <v>68</v>
      </c>
      <c r="F55" s="170" t="s">
        <v>135</v>
      </c>
      <c r="G55" s="171"/>
      <c r="H55" s="170" t="s">
        <v>135</v>
      </c>
      <c r="I55" s="172"/>
      <c r="J55" s="171"/>
      <c r="K55" s="170" t="s">
        <v>135</v>
      </c>
      <c r="L55" s="172"/>
      <c r="M55" s="171"/>
      <c r="T55" s="67"/>
      <c r="U55" s="13"/>
      <c r="V55" s="13"/>
      <c r="W55" s="12"/>
      <c r="X55" s="1"/>
      <c r="Y55" s="16"/>
      <c r="Z55" s="13"/>
      <c r="AA55" s="13"/>
      <c r="AB55" s="12"/>
      <c r="AC55" s="1"/>
      <c r="AD55" s="67">
        <v>6.4</v>
      </c>
      <c r="AE55" s="13">
        <f>$AO55</f>
        <v>11.954002782892456</v>
      </c>
      <c r="AF55" s="19" t="s">
        <v>68</v>
      </c>
      <c r="AG55" s="15" t="s">
        <v>69</v>
      </c>
      <c r="AH55" s="7"/>
      <c r="AI55" s="16">
        <f t="shared" si="24"/>
        <v>25</v>
      </c>
      <c r="AJ55" s="66">
        <f t="shared" si="26"/>
        <v>11.954002782892456</v>
      </c>
      <c r="AK55" s="19" t="s">
        <v>68</v>
      </c>
      <c r="AL55" s="15" t="s">
        <v>69</v>
      </c>
      <c r="AM55" s="19"/>
      <c r="AN55" s="16">
        <f>AN53+1</f>
        <v>25</v>
      </c>
      <c r="AO55" s="7">
        <f>(AN55+AN53)/2*AN$18</f>
        <v>11.954002782892456</v>
      </c>
      <c r="AP55" s="19" t="s">
        <v>68</v>
      </c>
      <c r="AQ55" s="15" t="s">
        <v>69</v>
      </c>
    </row>
    <row r="56" spans="1:43" ht="13.5">
      <c r="A56" s="199" t="s">
        <v>432</v>
      </c>
      <c r="B56" s="199">
        <f>2^6*7^2</f>
        <v>3136</v>
      </c>
      <c r="C56" s="199">
        <f>3^5*13</f>
        <v>3159</v>
      </c>
      <c r="D56" s="200">
        <f t="shared" si="28"/>
        <v>12.650853157998011</v>
      </c>
      <c r="E56" s="201" t="s">
        <v>430</v>
      </c>
      <c r="F56" s="130"/>
      <c r="G56" s="126"/>
      <c r="J56" s="126"/>
      <c r="M56" s="126"/>
      <c r="T56" s="67"/>
      <c r="U56" s="13"/>
      <c r="V56" s="13"/>
      <c r="W56" s="12"/>
      <c r="Y56" s="16"/>
      <c r="Z56" s="13"/>
      <c r="AA56" s="13"/>
      <c r="AB56" s="12"/>
      <c r="AC56" s="1"/>
      <c r="AD56" s="67">
        <v>6.6</v>
      </c>
      <c r="AE56" s="13">
        <f>$AO56</f>
        <v>12.441921263826842</v>
      </c>
      <c r="AF56" s="19" t="s">
        <v>238</v>
      </c>
      <c r="AG56" s="51" t="s">
        <v>239</v>
      </c>
      <c r="AI56" s="16">
        <f t="shared" si="24"/>
        <v>26</v>
      </c>
      <c r="AJ56" s="66">
        <f t="shared" si="26"/>
        <v>12.441921263826842</v>
      </c>
      <c r="AK56" s="19" t="str">
        <f>AP57</f>
        <v>.~|(</v>
      </c>
      <c r="AL56" s="15" t="str">
        <f>AQ57</f>
        <v>'~!(</v>
      </c>
      <c r="AM56" s="19"/>
      <c r="AN56" s="16">
        <f>AN55+1</f>
        <v>26</v>
      </c>
      <c r="AO56" s="7">
        <f>(AN56+AN55)/2*AN$18</f>
        <v>12.441921263826842</v>
      </c>
      <c r="AP56" s="19" t="s">
        <v>430</v>
      </c>
      <c r="AQ56" s="15" t="s">
        <v>431</v>
      </c>
    </row>
    <row r="57" spans="1:43" ht="13.5">
      <c r="A57" s="147" t="s">
        <v>132</v>
      </c>
      <c r="B57" s="147">
        <f>5*3^3</f>
        <v>135</v>
      </c>
      <c r="C57" s="150">
        <f>2^3*17</f>
        <v>136</v>
      </c>
      <c r="D57" s="148">
        <f t="shared" si="28"/>
        <v>12.776693039410047</v>
      </c>
      <c r="E57" s="149" t="s">
        <v>238</v>
      </c>
      <c r="F57" s="174" t="s">
        <v>132</v>
      </c>
      <c r="G57" s="175"/>
      <c r="H57" s="174" t="s">
        <v>132</v>
      </c>
      <c r="I57" s="176"/>
      <c r="J57" s="175"/>
      <c r="M57" s="126"/>
      <c r="T57" s="67"/>
      <c r="U57" s="13"/>
      <c r="V57" s="13"/>
      <c r="W57" s="12"/>
      <c r="Y57" s="16"/>
      <c r="Z57" s="13"/>
      <c r="AA57" s="13"/>
      <c r="AB57" s="12"/>
      <c r="AC57" s="1"/>
      <c r="AD57" s="67"/>
      <c r="AE57" s="13"/>
      <c r="AF57" s="19"/>
      <c r="AG57" s="15"/>
      <c r="AH57" s="19"/>
      <c r="AI57" s="62"/>
      <c r="AJ57" s="66"/>
      <c r="AK57" s="19"/>
      <c r="AL57" s="15"/>
      <c r="AM57" s="19"/>
      <c r="AN57" s="62">
        <f>AN56+(AO57-AO56)/$AN$18</f>
        <v>26.557166505266572</v>
      </c>
      <c r="AO57" s="7">
        <f>(D56+D57)/2</f>
        <v>12.713773098704028</v>
      </c>
      <c r="AP57" s="19" t="s">
        <v>238</v>
      </c>
      <c r="AQ57" s="51" t="s">
        <v>239</v>
      </c>
    </row>
    <row r="58" spans="1:43" ht="13.5">
      <c r="A58" s="199" t="s">
        <v>255</v>
      </c>
      <c r="B58" s="199">
        <f>5*7^3</f>
        <v>1715</v>
      </c>
      <c r="C58" s="199">
        <f>2^6*3^3</f>
        <v>1728</v>
      </c>
      <c r="D58" s="200">
        <f t="shared" si="28"/>
        <v>13.07356932395248</v>
      </c>
      <c r="E58" s="201" t="s">
        <v>433</v>
      </c>
      <c r="F58" s="133"/>
      <c r="G58" s="126"/>
      <c r="J58" s="126"/>
      <c r="M58" s="126"/>
      <c r="T58" s="67"/>
      <c r="U58" s="13"/>
      <c r="V58" s="13"/>
      <c r="W58" s="12"/>
      <c r="Y58" s="16"/>
      <c r="Z58" s="13"/>
      <c r="AA58" s="13"/>
      <c r="AB58" s="12"/>
      <c r="AC58" s="1"/>
      <c r="AD58" s="16"/>
      <c r="AE58" s="13"/>
      <c r="AF58" s="13"/>
      <c r="AG58" s="22"/>
      <c r="AI58" s="16">
        <f t="shared" si="24"/>
        <v>27</v>
      </c>
      <c r="AJ58" s="66">
        <f t="shared" si="26"/>
        <v>12.929839744761228</v>
      </c>
      <c r="AK58" s="19" t="str">
        <f>AP59</f>
        <v>.~|('</v>
      </c>
      <c r="AL58" s="15" t="str">
        <f>AQ59</f>
        <v>'~!(.</v>
      </c>
      <c r="AM58" s="19"/>
      <c r="AN58" s="16">
        <f>AN56+1</f>
        <v>27</v>
      </c>
      <c r="AO58" s="7">
        <f>(AN58+AN56)/2*AN$18</f>
        <v>12.929839744761228</v>
      </c>
      <c r="AP58" s="19" t="s">
        <v>433</v>
      </c>
      <c r="AQ58" s="15" t="s">
        <v>434</v>
      </c>
    </row>
    <row r="59" spans="1:43" ht="13.5">
      <c r="A59" s="185" t="s">
        <v>435</v>
      </c>
      <c r="B59" s="185">
        <f>3^5*23</f>
        <v>5589</v>
      </c>
      <c r="C59" s="185">
        <f>2^9*11</f>
        <v>5632</v>
      </c>
      <c r="D59" s="186">
        <f t="shared" si="28"/>
        <v>13.268590769404103</v>
      </c>
      <c r="E59" s="180" t="s">
        <v>256</v>
      </c>
      <c r="F59" s="187" t="s">
        <v>435</v>
      </c>
      <c r="G59" s="182"/>
      <c r="J59" s="126"/>
      <c r="M59" s="126"/>
      <c r="T59" s="67"/>
      <c r="U59" s="13"/>
      <c r="V59" s="13"/>
      <c r="W59" s="12"/>
      <c r="Y59" s="16"/>
      <c r="Z59" s="13"/>
      <c r="AA59" s="13"/>
      <c r="AB59" s="12"/>
      <c r="AC59" s="1"/>
      <c r="AD59" s="16"/>
      <c r="AE59" s="13"/>
      <c r="AF59" s="13"/>
      <c r="AG59" s="22"/>
      <c r="AI59" s="62"/>
      <c r="AJ59" s="66"/>
      <c r="AK59" s="19"/>
      <c r="AL59" s="15"/>
      <c r="AM59" s="19"/>
      <c r="AN59" s="62">
        <f>AN58+(AO59-AO58)/$AN$18</f>
        <v>27.494427473735115</v>
      </c>
      <c r="AO59" s="7">
        <f>(D58+D59)/2</f>
        <v>13.171080046678291</v>
      </c>
      <c r="AP59" s="19" t="s">
        <v>256</v>
      </c>
      <c r="AQ59" s="51" t="s">
        <v>257</v>
      </c>
    </row>
    <row r="60" spans="1:43" ht="13.5">
      <c r="A60" s="203" t="s">
        <v>438</v>
      </c>
      <c r="B60" s="203">
        <f>2^7</f>
        <v>128</v>
      </c>
      <c r="C60" s="203">
        <f>3*43</f>
        <v>129</v>
      </c>
      <c r="D60" s="200">
        <f t="shared" si="28"/>
        <v>13.472706507904944</v>
      </c>
      <c r="E60" s="201" t="s">
        <v>436</v>
      </c>
      <c r="F60" s="134"/>
      <c r="G60" s="126"/>
      <c r="J60" s="126"/>
      <c r="M60" s="126"/>
      <c r="T60" s="67">
        <v>3</v>
      </c>
      <c r="U60" s="13">
        <f>$AO60</f>
        <v>13.417758225695614</v>
      </c>
      <c r="V60" s="19" t="s">
        <v>20</v>
      </c>
      <c r="W60" s="15" t="s">
        <v>21</v>
      </c>
      <c r="Y60" s="67">
        <v>6</v>
      </c>
      <c r="Z60" s="13">
        <f>$AO60</f>
        <v>13.417758225695614</v>
      </c>
      <c r="AA60" s="19" t="s">
        <v>20</v>
      </c>
      <c r="AB60" s="15" t="s">
        <v>21</v>
      </c>
      <c r="AC60" s="1"/>
      <c r="AD60" s="67">
        <v>7</v>
      </c>
      <c r="AE60" s="13">
        <f>$AO60</f>
        <v>13.417758225695614</v>
      </c>
      <c r="AF60" s="19" t="s">
        <v>20</v>
      </c>
      <c r="AG60" s="15" t="s">
        <v>21</v>
      </c>
      <c r="AI60" s="16">
        <f t="shared" si="24"/>
        <v>28</v>
      </c>
      <c r="AJ60" s="66">
        <f t="shared" si="26"/>
        <v>13.417758225695614</v>
      </c>
      <c r="AK60" s="19" t="str">
        <f>AP61</f>
        <v>~|(..</v>
      </c>
      <c r="AL60" s="15" t="str">
        <f>AQ61</f>
        <v>~!(''</v>
      </c>
      <c r="AM60" s="19"/>
      <c r="AN60" s="16">
        <f>AN58+1</f>
        <v>28</v>
      </c>
      <c r="AO60" s="7">
        <f>(AN60+AN58)/2*AN$18</f>
        <v>13.417758225695614</v>
      </c>
      <c r="AP60" s="19" t="s">
        <v>436</v>
      </c>
      <c r="AQ60" s="51" t="s">
        <v>437</v>
      </c>
    </row>
    <row r="61" spans="1:43" ht="13.5">
      <c r="A61" s="191" t="s">
        <v>131</v>
      </c>
      <c r="B61" s="191">
        <f>5^3</f>
        <v>125</v>
      </c>
      <c r="C61" s="191">
        <f>2*3^2*7</f>
        <v>126</v>
      </c>
      <c r="D61" s="186">
        <f t="shared" si="28"/>
        <v>13.794766605395326</v>
      </c>
      <c r="E61" s="180" t="s">
        <v>242</v>
      </c>
      <c r="F61" s="192" t="s">
        <v>131</v>
      </c>
      <c r="G61" s="182"/>
      <c r="J61" s="126"/>
      <c r="M61" s="126"/>
      <c r="T61" s="67"/>
      <c r="U61" s="13"/>
      <c r="V61" s="19"/>
      <c r="W61" s="12"/>
      <c r="Y61" s="67"/>
      <c r="Z61" s="13"/>
      <c r="AA61" s="19"/>
      <c r="AB61" s="12"/>
      <c r="AC61" s="1"/>
      <c r="AD61" s="67"/>
      <c r="AE61" s="13"/>
      <c r="AF61" s="19"/>
      <c r="AG61" s="15"/>
      <c r="AI61" s="62"/>
      <c r="AJ61" s="66"/>
      <c r="AK61" s="19"/>
      <c r="AL61" s="15"/>
      <c r="AM61" s="19"/>
      <c r="AN61" s="62">
        <f>AN60+(AO61-AO60)/$AN$18</f>
        <v>28.442652490926172</v>
      </c>
      <c r="AO61" s="7">
        <f>(D60+D61)/2</f>
        <v>13.633736556650135</v>
      </c>
      <c r="AP61" s="19" t="s">
        <v>242</v>
      </c>
      <c r="AQ61" s="15" t="s">
        <v>243</v>
      </c>
    </row>
    <row r="62" spans="1:43" ht="13.5">
      <c r="A62" s="191" t="s">
        <v>130</v>
      </c>
      <c r="B62" s="191">
        <f>3^5</f>
        <v>243</v>
      </c>
      <c r="C62" s="191">
        <f>5*7^2</f>
        <v>245</v>
      </c>
      <c r="D62" s="186">
        <f t="shared" si="28"/>
        <v>14.190522476147523</v>
      </c>
      <c r="E62" s="180" t="s">
        <v>244</v>
      </c>
      <c r="F62" s="192" t="s">
        <v>130</v>
      </c>
      <c r="G62" s="182"/>
      <c r="J62" s="126"/>
      <c r="M62" s="126"/>
      <c r="T62" s="67"/>
      <c r="U62" s="13"/>
      <c r="V62" s="13"/>
      <c r="W62" s="12"/>
      <c r="Y62" s="16"/>
      <c r="Z62" s="13"/>
      <c r="AA62" s="13"/>
      <c r="AB62" s="12"/>
      <c r="AC62" s="1"/>
      <c r="AD62" s="16"/>
      <c r="AE62" s="13"/>
      <c r="AF62" s="13"/>
      <c r="AG62" s="22"/>
      <c r="AI62" s="16">
        <f t="shared" si="24"/>
        <v>29</v>
      </c>
      <c r="AJ62" s="66">
        <f t="shared" si="26"/>
        <v>13.905676706629999</v>
      </c>
      <c r="AK62" s="19" t="str">
        <f>AP62</f>
        <v>~|(.</v>
      </c>
      <c r="AL62" s="15" t="str">
        <f>AQ62</f>
        <v>~!('</v>
      </c>
      <c r="AM62" s="19"/>
      <c r="AN62" s="16">
        <f>AN60+1</f>
        <v>29</v>
      </c>
      <c r="AO62" s="7">
        <f>(AN62+AN60)/2*AN$18</f>
        <v>13.905676706629999</v>
      </c>
      <c r="AP62" s="19" t="s">
        <v>244</v>
      </c>
      <c r="AQ62" s="15" t="s">
        <v>245</v>
      </c>
    </row>
    <row r="63" spans="1:43" ht="13.5">
      <c r="A63" s="203" t="s">
        <v>441</v>
      </c>
      <c r="B63" s="203">
        <f>3^7*13</f>
        <v>28431</v>
      </c>
      <c r="C63" s="203">
        <f>2^12*7</f>
        <v>28672</v>
      </c>
      <c r="D63" s="200">
        <f t="shared" si="28"/>
        <v>14.613238642102443</v>
      </c>
      <c r="E63" s="201" t="s">
        <v>439</v>
      </c>
      <c r="F63" s="11"/>
      <c r="G63" s="126"/>
      <c r="J63" s="126"/>
      <c r="M63" s="126"/>
      <c r="T63" s="67"/>
      <c r="U63" s="13"/>
      <c r="V63" s="13"/>
      <c r="W63" s="12"/>
      <c r="Y63" s="16"/>
      <c r="Z63" s="13"/>
      <c r="AA63" s="13"/>
      <c r="AB63" s="12"/>
      <c r="AC63" s="1"/>
      <c r="AD63" s="16"/>
      <c r="AE63" s="13"/>
      <c r="AF63" s="13"/>
      <c r="AG63" s="22"/>
      <c r="AI63" s="16">
        <f t="shared" si="24"/>
        <v>30</v>
      </c>
      <c r="AJ63" s="66">
        <f t="shared" si="26"/>
        <v>14.393595187564385</v>
      </c>
      <c r="AK63" s="19" t="str">
        <f>AP64</f>
        <v>~|(</v>
      </c>
      <c r="AL63" s="15" t="str">
        <f>AQ64</f>
        <v>~!(</v>
      </c>
      <c r="AM63" s="19"/>
      <c r="AN63" s="16">
        <f>AN62+1</f>
        <v>30</v>
      </c>
      <c r="AO63" s="7">
        <f>(AN63+AN62)/2*AN$18</f>
        <v>14.393595187564385</v>
      </c>
      <c r="AP63" s="19" t="s">
        <v>439</v>
      </c>
      <c r="AQ63" s="51" t="s">
        <v>440</v>
      </c>
    </row>
    <row r="64" spans="1:43" ht="13.5">
      <c r="A64" s="135" t="s">
        <v>99</v>
      </c>
      <c r="B64" s="135">
        <f>2^12</f>
        <v>4096</v>
      </c>
      <c r="C64" s="135">
        <f>3^5*17</f>
        <v>4131</v>
      </c>
      <c r="D64" s="136">
        <f t="shared" si="28"/>
        <v>14.730413827344378</v>
      </c>
      <c r="E64" s="139" t="s">
        <v>20</v>
      </c>
      <c r="F64" s="163" t="s">
        <v>99</v>
      </c>
      <c r="G64" s="167"/>
      <c r="H64" s="163" t="s">
        <v>99</v>
      </c>
      <c r="I64" s="165"/>
      <c r="J64" s="167"/>
      <c r="K64" s="163" t="s">
        <v>99</v>
      </c>
      <c r="L64" s="165"/>
      <c r="M64" s="167"/>
      <c r="N64" s="163" t="s">
        <v>99</v>
      </c>
      <c r="O64" s="165"/>
      <c r="T64" s="67"/>
      <c r="U64" s="13"/>
      <c r="V64" s="13"/>
      <c r="W64" s="12"/>
      <c r="Y64" s="16"/>
      <c r="Z64" s="13"/>
      <c r="AA64" s="13"/>
      <c r="AB64" s="12"/>
      <c r="AC64" s="7"/>
      <c r="AD64" s="16"/>
      <c r="AE64" s="13"/>
      <c r="AF64" s="13"/>
      <c r="AG64" s="22"/>
      <c r="AI64" s="62"/>
      <c r="AJ64" s="66"/>
      <c r="AK64" s="19"/>
      <c r="AL64" s="15"/>
      <c r="AM64" s="19"/>
      <c r="AN64" s="62">
        <f>AN63+(AO64-AO63)/$AN$18</f>
        <v>30.570240845614624</v>
      </c>
      <c r="AO64" s="7">
        <f>(D63+D64)/2</f>
        <v>14.671826234723412</v>
      </c>
      <c r="AP64" s="19" t="s">
        <v>20</v>
      </c>
      <c r="AQ64" s="15" t="s">
        <v>21</v>
      </c>
    </row>
    <row r="65" spans="1:43" ht="13.5">
      <c r="A65" s="185" t="s">
        <v>250</v>
      </c>
      <c r="B65" s="185">
        <f>3^4*7</f>
        <v>567</v>
      </c>
      <c r="C65" s="185">
        <f>2^2*11*13</f>
        <v>572</v>
      </c>
      <c r="D65" s="186">
        <f t="shared" si="28"/>
        <v>15.199694203392605</v>
      </c>
      <c r="E65" s="180" t="s">
        <v>283</v>
      </c>
      <c r="F65" s="187" t="s">
        <v>250</v>
      </c>
      <c r="G65" s="182"/>
      <c r="J65" s="126"/>
      <c r="M65" s="126"/>
      <c r="T65" s="67"/>
      <c r="U65" s="13"/>
      <c r="V65" s="13"/>
      <c r="W65" s="12"/>
      <c r="Y65" s="16"/>
      <c r="Z65" s="13"/>
      <c r="AA65" s="13"/>
      <c r="AB65" s="12"/>
      <c r="AC65" s="7"/>
      <c r="AD65" s="16"/>
      <c r="AE65" s="13"/>
      <c r="AF65" s="13"/>
      <c r="AG65" s="22"/>
      <c r="AI65" s="16">
        <f t="shared" si="24"/>
        <v>31</v>
      </c>
      <c r="AJ65" s="66">
        <f t="shared" si="26"/>
        <v>14.881513668498771</v>
      </c>
      <c r="AK65" s="19" t="str">
        <f>AP65</f>
        <v>~|('</v>
      </c>
      <c r="AL65" s="15" t="str">
        <f>AQ65</f>
        <v>~!(.</v>
      </c>
      <c r="AM65" s="19"/>
      <c r="AN65" s="16">
        <f>AN63+1</f>
        <v>31</v>
      </c>
      <c r="AO65" s="7">
        <f>(AN65+AN63)/2*AN$18</f>
        <v>14.881513668498771</v>
      </c>
      <c r="AP65" s="19" t="s">
        <v>283</v>
      </c>
      <c r="AQ65" s="15" t="s">
        <v>344</v>
      </c>
    </row>
    <row r="66" spans="1:43" ht="13.5">
      <c r="A66" s="199" t="s">
        <v>444</v>
      </c>
      <c r="B66" s="205">
        <f>3^10*11</f>
        <v>649539</v>
      </c>
      <c r="C66" s="203">
        <f>2^17*5</f>
        <v>655360</v>
      </c>
      <c r="D66" s="200">
        <f t="shared" si="28"/>
        <v>15.445762846204065</v>
      </c>
      <c r="E66" s="201" t="s">
        <v>442</v>
      </c>
      <c r="F66" s="130"/>
      <c r="G66" s="126"/>
      <c r="J66" s="126"/>
      <c r="M66" s="126"/>
      <c r="T66" s="67"/>
      <c r="U66" s="13"/>
      <c r="V66" s="13"/>
      <c r="W66" s="12"/>
      <c r="Y66" s="16">
        <v>7</v>
      </c>
      <c r="Z66" s="13">
        <f>$AO66</f>
        <v>15.369432149433157</v>
      </c>
      <c r="AA66" s="19" t="s">
        <v>26</v>
      </c>
      <c r="AB66" s="15" t="s">
        <v>27</v>
      </c>
      <c r="AC66" s="7"/>
      <c r="AD66" s="16">
        <v>8</v>
      </c>
      <c r="AE66" s="13">
        <f>$AO66</f>
        <v>15.369432149433157</v>
      </c>
      <c r="AF66" s="19" t="s">
        <v>26</v>
      </c>
      <c r="AG66" s="15" t="s">
        <v>27</v>
      </c>
      <c r="AI66" s="16">
        <f t="shared" si="24"/>
        <v>32</v>
      </c>
      <c r="AJ66" s="66">
        <f t="shared" si="26"/>
        <v>15.369432149433157</v>
      </c>
      <c r="AK66" s="19" t="str">
        <f>AP67</f>
        <v>|~..</v>
      </c>
      <c r="AL66" s="15" t="str">
        <f>AQ67</f>
        <v>!~''</v>
      </c>
      <c r="AM66" s="19"/>
      <c r="AN66" s="16">
        <f>AN65+1</f>
        <v>32</v>
      </c>
      <c r="AO66" s="7">
        <f>(AN66+AN65)/2*AN$18</f>
        <v>15.369432149433157</v>
      </c>
      <c r="AP66" s="19" t="s">
        <v>442</v>
      </c>
      <c r="AQ66" s="15" t="s">
        <v>443</v>
      </c>
    </row>
    <row r="67" spans="1:43" ht="13.5">
      <c r="A67" s="191" t="s">
        <v>147</v>
      </c>
      <c r="B67" s="193">
        <f>2^14*5^2</f>
        <v>409600</v>
      </c>
      <c r="C67" s="191">
        <f>3^10*7</f>
        <v>413343</v>
      </c>
      <c r="D67" s="186">
        <f t="shared" si="28"/>
        <v>15.748487393329595</v>
      </c>
      <c r="E67" s="180" t="s">
        <v>247</v>
      </c>
      <c r="F67" s="192" t="s">
        <v>147</v>
      </c>
      <c r="G67" s="182"/>
      <c r="J67" s="126"/>
      <c r="M67" s="126"/>
      <c r="T67" s="67"/>
      <c r="U67" s="13"/>
      <c r="V67" s="13"/>
      <c r="W67" s="12"/>
      <c r="Y67" s="16"/>
      <c r="Z67" s="13"/>
      <c r="AA67" s="19"/>
      <c r="AB67" s="12"/>
      <c r="AC67" s="7"/>
      <c r="AD67" s="16"/>
      <c r="AE67" s="13"/>
      <c r="AF67" s="19"/>
      <c r="AG67" s="15"/>
      <c r="AI67" s="62"/>
      <c r="AJ67" s="66"/>
      <c r="AK67" s="19"/>
      <c r="AL67" s="15"/>
      <c r="AM67" s="19"/>
      <c r="AN67" s="62">
        <f>AN66+(AO67-AO66)/$AN$18</f>
        <v>32.46666191019785</v>
      </c>
      <c r="AO67" s="7">
        <f>(D66+D67)/2</f>
        <v>15.597125119766829</v>
      </c>
      <c r="AP67" s="19" t="s">
        <v>247</v>
      </c>
      <c r="AQ67" s="15" t="s">
        <v>248</v>
      </c>
    </row>
    <row r="68" spans="1:43" ht="13.5">
      <c r="A68" s="191" t="s">
        <v>127</v>
      </c>
      <c r="B68" s="191">
        <f>2^15</f>
        <v>32768</v>
      </c>
      <c r="C68" s="193">
        <f>3^3*5^2*7^2</f>
        <v>33075</v>
      </c>
      <c r="D68" s="186">
        <f t="shared" si="28"/>
        <v>16.144243264081744</v>
      </c>
      <c r="E68" s="180" t="s">
        <v>128</v>
      </c>
      <c r="F68" s="192" t="s">
        <v>127</v>
      </c>
      <c r="G68" s="182"/>
      <c r="J68" s="126"/>
      <c r="M68" s="126"/>
      <c r="T68" s="67"/>
      <c r="U68" s="13"/>
      <c r="V68" s="13"/>
      <c r="W68" s="12"/>
      <c r="Y68" s="16"/>
      <c r="Z68" s="13"/>
      <c r="AA68" s="13"/>
      <c r="AB68" s="12"/>
      <c r="AC68" s="7"/>
      <c r="AD68" s="16"/>
      <c r="AE68" s="13"/>
      <c r="AF68" s="13"/>
      <c r="AG68" s="22"/>
      <c r="AI68" s="16">
        <f t="shared" si="24"/>
        <v>33</v>
      </c>
      <c r="AJ68" s="66">
        <f t="shared" si="26"/>
        <v>15.857350630367543</v>
      </c>
      <c r="AK68" s="19" t="str">
        <f>AP68</f>
        <v>|~.</v>
      </c>
      <c r="AL68" s="15" t="str">
        <f>AQ68</f>
        <v>!~'</v>
      </c>
      <c r="AM68" s="19"/>
      <c r="AN68" s="16">
        <f>AN66+1</f>
        <v>33</v>
      </c>
      <c r="AO68" s="7">
        <f>(AN68+AN66)/2*AN$18</f>
        <v>15.857350630367543</v>
      </c>
      <c r="AP68" s="19" t="s">
        <v>128</v>
      </c>
      <c r="AQ68" s="15" t="s">
        <v>129</v>
      </c>
    </row>
    <row r="69" spans="1:43" ht="13.5">
      <c r="A69" s="203" t="s">
        <v>447</v>
      </c>
      <c r="B69" s="203">
        <f>2^18</f>
        <v>262144</v>
      </c>
      <c r="C69" s="203">
        <f>3^7*11^2</f>
        <v>264627</v>
      </c>
      <c r="D69" s="200">
        <f t="shared" si="28"/>
        <v>16.320890787225341</v>
      </c>
      <c r="E69" s="202" t="s">
        <v>445</v>
      </c>
      <c r="F69" s="134"/>
      <c r="G69" s="127"/>
      <c r="J69" s="127"/>
      <c r="M69" s="127"/>
      <c r="T69" s="67"/>
      <c r="U69" s="13"/>
      <c r="V69" s="13"/>
      <c r="W69" s="12"/>
      <c r="Y69" s="16"/>
      <c r="Z69" s="13"/>
      <c r="AA69" s="13"/>
      <c r="AB69" s="12"/>
      <c r="AC69" s="7"/>
      <c r="AD69" s="16"/>
      <c r="AE69" s="13"/>
      <c r="AF69" s="13"/>
      <c r="AG69" s="22"/>
      <c r="AI69" s="16"/>
      <c r="AJ69" s="66"/>
      <c r="AK69" s="19"/>
      <c r="AL69" s="15"/>
      <c r="AM69" s="19"/>
      <c r="AN69" s="62">
        <f>AN68+(AO69-AO68)/$AN$18</f>
        <v>33.769014517686323</v>
      </c>
      <c r="AO69" s="7">
        <f>(D68+D69)/2</f>
        <v>16.232567025653545</v>
      </c>
      <c r="AP69" s="4" t="s">
        <v>445</v>
      </c>
      <c r="AQ69" s="15" t="s">
        <v>446</v>
      </c>
    </row>
    <row r="70" spans="1:43" ht="13.5">
      <c r="A70" s="141" t="s">
        <v>100</v>
      </c>
      <c r="B70" s="141">
        <f>3^6</f>
        <v>729</v>
      </c>
      <c r="C70" s="141">
        <f>2^5*23</f>
        <v>736</v>
      </c>
      <c r="D70" s="143">
        <f t="shared" si="28"/>
        <v>16.544342076090803</v>
      </c>
      <c r="E70" s="144" t="s">
        <v>26</v>
      </c>
      <c r="F70" s="170" t="s">
        <v>100</v>
      </c>
      <c r="G70" s="171"/>
      <c r="H70" s="170" t="s">
        <v>100</v>
      </c>
      <c r="I70" s="172"/>
      <c r="J70" s="171"/>
      <c r="K70" s="170" t="s">
        <v>100</v>
      </c>
      <c r="L70" s="172"/>
      <c r="M70" s="171"/>
      <c r="T70" s="67"/>
      <c r="U70" s="13"/>
      <c r="V70" s="13"/>
      <c r="W70" s="12"/>
      <c r="Y70" s="16"/>
      <c r="Z70" s="13"/>
      <c r="AA70" s="13"/>
      <c r="AB70" s="12"/>
      <c r="AC70" s="7"/>
      <c r="AD70" s="16"/>
      <c r="AE70" s="13"/>
      <c r="AF70" s="13"/>
      <c r="AG70" s="22"/>
      <c r="AI70" s="16">
        <f t="shared" si="24"/>
        <v>34</v>
      </c>
      <c r="AJ70" s="66">
        <f t="shared" si="26"/>
        <v>16.345269111301928</v>
      </c>
      <c r="AK70" s="19" t="str">
        <f>AP70</f>
        <v>|~</v>
      </c>
      <c r="AL70" s="15" t="str">
        <f>AQ70</f>
        <v>!~</v>
      </c>
      <c r="AM70" s="19"/>
      <c r="AN70" s="16">
        <f>AN68+1</f>
        <v>34</v>
      </c>
      <c r="AO70" s="7">
        <f>(AN70+AN68)/2*AN$18</f>
        <v>16.345269111301928</v>
      </c>
      <c r="AP70" s="19" t="s">
        <v>26</v>
      </c>
      <c r="AQ70" s="15" t="s">
        <v>27</v>
      </c>
    </row>
    <row r="71" spans="1:43" ht="13.5">
      <c r="A71" s="203" t="s">
        <v>450</v>
      </c>
      <c r="B71" s="203">
        <f>2^3*13</f>
        <v>104</v>
      </c>
      <c r="C71" s="203">
        <f>3*5*7</f>
        <v>105</v>
      </c>
      <c r="D71" s="200">
        <f t="shared" si="28"/>
        <v>16.566959430036512</v>
      </c>
      <c r="E71" s="202" t="s">
        <v>448</v>
      </c>
      <c r="F71" s="11"/>
      <c r="G71" s="127"/>
      <c r="J71" s="127"/>
      <c r="M71" s="127"/>
      <c r="T71" s="67"/>
      <c r="U71" s="13"/>
      <c r="V71" s="13"/>
      <c r="W71" s="12"/>
      <c r="Y71" s="16"/>
      <c r="Z71" s="13"/>
      <c r="AA71" s="13"/>
      <c r="AB71" s="12"/>
      <c r="AC71" s="7"/>
      <c r="AD71" s="16"/>
      <c r="AE71" s="13"/>
      <c r="AF71" s="13"/>
      <c r="AG71" s="22"/>
      <c r="AI71" s="62"/>
      <c r="AJ71" s="66"/>
      <c r="AK71" s="19"/>
      <c r="AL71" s="15"/>
      <c r="AM71" s="19"/>
      <c r="AN71" s="62">
        <f>AN70+(AO71-AO70)/$AN$18</f>
        <v>34.431181949408519</v>
      </c>
      <c r="AO71" s="7">
        <f>(D70+D71)/2</f>
        <v>16.555650753063659</v>
      </c>
      <c r="AP71" s="4" t="s">
        <v>448</v>
      </c>
      <c r="AQ71" s="15" t="s">
        <v>449</v>
      </c>
    </row>
    <row r="72" spans="1:43" ht="13.5">
      <c r="A72" s="185" t="s">
        <v>149</v>
      </c>
      <c r="B72" s="191">
        <f>3*13^2</f>
        <v>507</v>
      </c>
      <c r="C72" s="191">
        <f>2^9</f>
        <v>512</v>
      </c>
      <c r="D72" s="186">
        <f t="shared" si="28"/>
        <v>16.989675595991482</v>
      </c>
      <c r="E72" s="180" t="s">
        <v>261</v>
      </c>
      <c r="F72" s="187" t="s">
        <v>149</v>
      </c>
      <c r="G72" s="182"/>
      <c r="J72" s="126"/>
      <c r="M72" s="126"/>
      <c r="T72" s="67"/>
      <c r="U72" s="13"/>
      <c r="V72" s="13"/>
      <c r="W72" s="12"/>
      <c r="Y72" s="16"/>
      <c r="Z72" s="13"/>
      <c r="AA72" s="13"/>
      <c r="AB72" s="12"/>
      <c r="AC72" s="7"/>
      <c r="AD72" s="16"/>
      <c r="AE72" s="13"/>
      <c r="AF72" s="13"/>
      <c r="AG72" s="22"/>
      <c r="AI72" s="16">
        <f t="shared" ref="AI72:AI102" si="29">AN72</f>
        <v>35</v>
      </c>
      <c r="AJ72" s="66">
        <f t="shared" si="26"/>
        <v>16.833187592236314</v>
      </c>
      <c r="AK72" s="19" t="str">
        <f>AP72</f>
        <v>|~'</v>
      </c>
      <c r="AL72" s="15" t="str">
        <f>AQ72</f>
        <v>!~.</v>
      </c>
      <c r="AM72" s="19"/>
      <c r="AN72" s="16">
        <f>AN70+1</f>
        <v>35</v>
      </c>
      <c r="AO72" s="7">
        <f>(AN72+AN70)/2*AN$18</f>
        <v>16.833187592236314</v>
      </c>
      <c r="AP72" s="19" t="s">
        <v>261</v>
      </c>
      <c r="AQ72" s="15" t="s">
        <v>262</v>
      </c>
    </row>
    <row r="73" spans="1:43" ht="13.5">
      <c r="A73" s="206" t="s">
        <v>101</v>
      </c>
      <c r="B73" s="206">
        <f>3^2*11</f>
        <v>99</v>
      </c>
      <c r="C73" s="206">
        <f>2^2*5^2</f>
        <v>100</v>
      </c>
      <c r="D73" s="207">
        <f t="shared" si="28"/>
        <v>17.399483634138207</v>
      </c>
      <c r="E73" s="201" t="s">
        <v>451</v>
      </c>
      <c r="F73" s="11"/>
      <c r="G73" s="126"/>
      <c r="J73" s="126"/>
      <c r="M73" s="126"/>
      <c r="T73" s="67"/>
      <c r="U73" s="13"/>
      <c r="V73" s="13"/>
      <c r="W73" s="12"/>
      <c r="Y73" s="67">
        <v>7.5</v>
      </c>
      <c r="Z73" s="13">
        <f>$AO73</f>
        <v>17.3211060731707</v>
      </c>
      <c r="AA73" s="19" t="s">
        <v>76</v>
      </c>
      <c r="AB73" s="15" t="s">
        <v>77</v>
      </c>
      <c r="AC73" s="7"/>
      <c r="AD73" s="16">
        <v>9</v>
      </c>
      <c r="AE73" s="13">
        <f>$AO73</f>
        <v>17.3211060731707</v>
      </c>
      <c r="AF73" s="19" t="s">
        <v>76</v>
      </c>
      <c r="AG73" s="15" t="s">
        <v>77</v>
      </c>
      <c r="AI73" s="16">
        <f t="shared" si="29"/>
        <v>36</v>
      </c>
      <c r="AJ73" s="66">
        <f t="shared" si="26"/>
        <v>17.3211060731707</v>
      </c>
      <c r="AK73" s="19" t="str">
        <f>AP74</f>
        <v>~~|</v>
      </c>
      <c r="AL73" s="15" t="str">
        <f>AQ74</f>
        <v>~~!</v>
      </c>
      <c r="AM73" s="19"/>
      <c r="AN73" s="16">
        <f>AN72+1</f>
        <v>36</v>
      </c>
      <c r="AO73" s="7">
        <f>(AN73+AN72)/2*AN$18</f>
        <v>17.3211060731707</v>
      </c>
      <c r="AP73" s="19" t="s">
        <v>451</v>
      </c>
      <c r="AQ73" s="15" t="s">
        <v>452</v>
      </c>
    </row>
    <row r="74" spans="1:43" ht="13.5">
      <c r="A74" s="141" t="s">
        <v>148</v>
      </c>
      <c r="B74" s="141">
        <f>2*7^2</f>
        <v>98</v>
      </c>
      <c r="C74" s="141">
        <f>3^2*11</f>
        <v>99</v>
      </c>
      <c r="D74" s="143">
        <f t="shared" si="28"/>
        <v>17.576131157281512</v>
      </c>
      <c r="E74" s="144" t="s">
        <v>76</v>
      </c>
      <c r="F74" s="170" t="s">
        <v>148</v>
      </c>
      <c r="G74" s="171"/>
      <c r="H74" s="170" t="s">
        <v>148</v>
      </c>
      <c r="I74" s="172"/>
      <c r="J74" s="171"/>
      <c r="K74" s="170" t="s">
        <v>148</v>
      </c>
      <c r="L74" s="172"/>
      <c r="M74" s="171"/>
      <c r="T74" s="67"/>
      <c r="U74" s="13"/>
      <c r="V74" s="13"/>
      <c r="W74" s="12"/>
      <c r="Y74" s="16"/>
      <c r="Z74" s="13"/>
      <c r="AA74" s="19"/>
      <c r="AB74" s="12"/>
      <c r="AC74" s="1"/>
      <c r="AD74" s="16"/>
      <c r="AE74" s="13"/>
      <c r="AF74" s="19"/>
      <c r="AG74" s="15"/>
      <c r="AI74" s="62"/>
      <c r="AJ74" s="66"/>
      <c r="AK74" s="19"/>
      <c r="AL74" s="15"/>
      <c r="AM74" s="19"/>
      <c r="AN74" s="62">
        <f>AN73+(AO74-AO73)/$AN$18</f>
        <v>36.341658143835659</v>
      </c>
      <c r="AO74" s="7">
        <f>(D73+D74)/2</f>
        <v>17.487807395709858</v>
      </c>
      <c r="AP74" s="19" t="s">
        <v>76</v>
      </c>
      <c r="AQ74" s="15" t="s">
        <v>77</v>
      </c>
    </row>
    <row r="75" spans="1:43" ht="13.5">
      <c r="A75" s="191" t="s">
        <v>453</v>
      </c>
      <c r="B75" s="191">
        <f>2^8*31</f>
        <v>7936</v>
      </c>
      <c r="C75" s="191">
        <f>3^6*11</f>
        <v>8019</v>
      </c>
      <c r="D75" s="186">
        <f t="shared" si="28"/>
        <v>18.012375092831025</v>
      </c>
      <c r="E75" s="180" t="s">
        <v>259</v>
      </c>
      <c r="F75" s="192" t="s">
        <v>453</v>
      </c>
      <c r="G75" s="182"/>
      <c r="J75" s="126"/>
      <c r="M75" s="126"/>
      <c r="T75" s="67"/>
      <c r="U75" s="13"/>
      <c r="V75" s="13"/>
      <c r="W75" s="12"/>
      <c r="Y75" s="16"/>
      <c r="Z75" s="13"/>
      <c r="AA75" s="19"/>
      <c r="AB75" s="12"/>
      <c r="AC75" s="1"/>
      <c r="AD75" s="16"/>
      <c r="AE75" s="13"/>
      <c r="AF75" s="13"/>
      <c r="AG75" s="22"/>
      <c r="AI75" s="16">
        <f t="shared" si="29"/>
        <v>37</v>
      </c>
      <c r="AJ75" s="66">
        <f t="shared" si="26"/>
        <v>17.809024554105086</v>
      </c>
      <c r="AK75" s="19" t="str">
        <f>AP75</f>
        <v>~~|'</v>
      </c>
      <c r="AL75" s="15" t="str">
        <f>AQ75</f>
        <v>~~!.</v>
      </c>
      <c r="AM75" s="19"/>
      <c r="AN75" s="16">
        <f>AN73+1</f>
        <v>37</v>
      </c>
      <c r="AO75" s="7">
        <f>(AN75+AN73)/2*AN$18</f>
        <v>17.809024554105086</v>
      </c>
      <c r="AP75" s="19" t="s">
        <v>259</v>
      </c>
      <c r="AQ75" s="15" t="s">
        <v>260</v>
      </c>
    </row>
    <row r="76" spans="1:43" ht="13.5">
      <c r="A76" s="199" t="s">
        <v>258</v>
      </c>
      <c r="B76" s="199">
        <f>5*19</f>
        <v>95</v>
      </c>
      <c r="C76" s="199">
        <f>2^5*3</f>
        <v>96</v>
      </c>
      <c r="D76" s="200">
        <f t="shared" si="28"/>
        <v>18.128270868250066</v>
      </c>
      <c r="E76" s="201" t="s">
        <v>454</v>
      </c>
      <c r="F76" s="130"/>
      <c r="G76" s="126"/>
      <c r="J76" s="126"/>
      <c r="M76" s="126"/>
      <c r="T76" s="67"/>
      <c r="U76" s="13"/>
      <c r="V76" s="13"/>
      <c r="W76" s="12"/>
      <c r="Y76" s="16"/>
      <c r="Z76" s="13"/>
      <c r="AA76" s="13"/>
      <c r="AB76" s="12"/>
      <c r="AC76" s="1"/>
      <c r="AD76" s="16"/>
      <c r="AE76" s="13"/>
      <c r="AF76" s="13"/>
      <c r="AG76" s="22"/>
      <c r="AI76" s="62"/>
      <c r="AJ76" s="66"/>
      <c r="AK76" s="19"/>
      <c r="AL76" s="15"/>
      <c r="AM76" s="19"/>
      <c r="AN76" s="62">
        <f>AN75+(AO76-AO75)/$AN$18</f>
        <v>37.535537055155324</v>
      </c>
      <c r="AO76" s="7">
        <f>(D75+D76)/2</f>
        <v>18.070322980540546</v>
      </c>
      <c r="AP76" s="19" t="s">
        <v>454</v>
      </c>
      <c r="AQ76" s="51" t="s">
        <v>455</v>
      </c>
    </row>
    <row r="77" spans="1:43" ht="13.5">
      <c r="A77" s="191" t="s">
        <v>456</v>
      </c>
      <c r="B77" s="191">
        <f>3^9*7</f>
        <v>137781</v>
      </c>
      <c r="C77" s="191">
        <f>2^13*17</f>
        <v>139264</v>
      </c>
      <c r="D77" s="186">
        <f t="shared" si="28"/>
        <v>18.534495242795682</v>
      </c>
      <c r="E77" s="180" t="s">
        <v>203</v>
      </c>
      <c r="F77" s="192" t="s">
        <v>456</v>
      </c>
      <c r="G77" s="182"/>
      <c r="J77" s="126"/>
      <c r="M77" s="126"/>
      <c r="T77" s="67"/>
      <c r="U77" s="13"/>
      <c r="V77" s="13"/>
      <c r="W77" s="12"/>
      <c r="Y77" s="16"/>
      <c r="Z77" s="13"/>
      <c r="AA77" s="13"/>
      <c r="AB77" s="12"/>
      <c r="AC77" s="1"/>
      <c r="AD77" s="16"/>
      <c r="AE77" s="13"/>
      <c r="AF77" s="13"/>
      <c r="AG77" s="22"/>
      <c r="AI77" s="16">
        <f t="shared" si="29"/>
        <v>38</v>
      </c>
      <c r="AJ77" s="66">
        <f t="shared" si="26"/>
        <v>18.296943035039472</v>
      </c>
      <c r="AK77" s="19" t="str">
        <f>AP77</f>
        <v>~~|''</v>
      </c>
      <c r="AL77" s="15" t="str">
        <f>AQ77</f>
        <v>~~!..</v>
      </c>
      <c r="AM77" s="19"/>
      <c r="AN77" s="16">
        <f>AN75+1</f>
        <v>38</v>
      </c>
      <c r="AO77" s="7">
        <f>(AN77+AN75)/2*AN$18</f>
        <v>18.296943035039472</v>
      </c>
      <c r="AP77" s="19" t="s">
        <v>203</v>
      </c>
      <c r="AQ77" s="15" t="s">
        <v>204</v>
      </c>
    </row>
    <row r="78" spans="1:43" ht="13.5">
      <c r="A78" s="199" t="s">
        <v>225</v>
      </c>
      <c r="B78" s="199">
        <f>3^3*7^4</f>
        <v>64827</v>
      </c>
      <c r="C78" s="199">
        <f>2^16</f>
        <v>65536</v>
      </c>
      <c r="D78" s="200">
        <f t="shared" si="28"/>
        <v>18.831371527337947</v>
      </c>
      <c r="E78" s="202" t="s">
        <v>457</v>
      </c>
      <c r="F78" s="133"/>
      <c r="G78" s="127"/>
      <c r="J78" s="127"/>
      <c r="M78" s="127"/>
      <c r="T78" s="67">
        <v>4</v>
      </c>
      <c r="U78" s="13">
        <f>$AO78</f>
        <v>18.784861515973859</v>
      </c>
      <c r="V78" s="19" t="s">
        <v>1</v>
      </c>
      <c r="W78" s="15" t="s">
        <v>2</v>
      </c>
      <c r="Y78" s="16">
        <v>8</v>
      </c>
      <c r="Z78" s="13">
        <f>$AO78</f>
        <v>18.784861515973859</v>
      </c>
      <c r="AA78" s="19" t="s">
        <v>82</v>
      </c>
      <c r="AB78" s="15" t="s">
        <v>83</v>
      </c>
      <c r="AC78" s="1"/>
      <c r="AD78" s="16">
        <v>10</v>
      </c>
      <c r="AE78" s="13">
        <f>$AO78</f>
        <v>18.784861515973859</v>
      </c>
      <c r="AF78" s="19" t="s">
        <v>13</v>
      </c>
      <c r="AG78" s="51" t="s">
        <v>12</v>
      </c>
      <c r="AI78" s="16">
        <f t="shared" si="29"/>
        <v>39</v>
      </c>
      <c r="AJ78" s="66">
        <f t="shared" si="26"/>
        <v>18.784861515973859</v>
      </c>
      <c r="AK78" s="19" t="str">
        <f>AP79</f>
        <v>./|.</v>
      </c>
      <c r="AL78" s="15" t="str">
        <f>AQ79</f>
        <v>'\!'</v>
      </c>
      <c r="AM78" s="19"/>
      <c r="AN78" s="16">
        <f>AN77+1</f>
        <v>39</v>
      </c>
      <c r="AO78" s="7">
        <f>(AN78+AN77)/2*AN$18</f>
        <v>18.784861515973859</v>
      </c>
      <c r="AP78" s="4" t="s">
        <v>457</v>
      </c>
      <c r="AQ78" s="15" t="s">
        <v>458</v>
      </c>
    </row>
    <row r="79" spans="1:43" ht="13.5">
      <c r="A79" s="185" t="s">
        <v>459</v>
      </c>
      <c r="B79" s="185">
        <f>2*3^2*5</f>
        <v>90</v>
      </c>
      <c r="C79" s="185">
        <f>7*13</f>
        <v>91</v>
      </c>
      <c r="D79" s="186">
        <f t="shared" si="28"/>
        <v>19.129852642825803</v>
      </c>
      <c r="E79" s="180" t="s">
        <v>284</v>
      </c>
      <c r="F79" s="187" t="s">
        <v>459</v>
      </c>
      <c r="G79" s="182"/>
      <c r="J79" s="126"/>
      <c r="M79" s="126"/>
      <c r="T79" s="67"/>
      <c r="U79" s="13"/>
      <c r="V79" s="19"/>
      <c r="W79" s="12"/>
      <c r="Y79" s="16"/>
      <c r="Z79" s="13"/>
      <c r="AA79" s="19"/>
      <c r="AB79" s="12"/>
      <c r="AC79" s="1"/>
      <c r="AD79" s="16"/>
      <c r="AE79" s="13"/>
      <c r="AF79" s="19"/>
      <c r="AG79" s="15"/>
      <c r="AI79" s="62"/>
      <c r="AJ79" s="66"/>
      <c r="AK79" s="19"/>
      <c r="AL79" s="15"/>
      <c r="AM79" s="19"/>
      <c r="AN79" s="62">
        <f>AN78+(AO79-AO78)/$AN$18</f>
        <v>39.40119523395208</v>
      </c>
      <c r="AO79" s="7">
        <f>(D78+D79)/2</f>
        <v>18.980612085081873</v>
      </c>
      <c r="AP79" s="19" t="s">
        <v>284</v>
      </c>
      <c r="AQ79" s="51" t="s">
        <v>285</v>
      </c>
    </row>
    <row r="80" spans="1:43" ht="13.5">
      <c r="A80" s="199" t="s">
        <v>462</v>
      </c>
      <c r="B80" s="199">
        <f>2^16*7^2</f>
        <v>3211264</v>
      </c>
      <c r="C80" s="199">
        <f>3^10*5*11</f>
        <v>3247695</v>
      </c>
      <c r="D80" s="200">
        <f t="shared" si="28"/>
        <v>19.529851945215984</v>
      </c>
      <c r="E80" s="202" t="s">
        <v>460</v>
      </c>
      <c r="F80" s="130"/>
      <c r="G80" s="127"/>
      <c r="J80" s="127"/>
      <c r="M80" s="127"/>
      <c r="T80" s="67"/>
      <c r="U80" s="13"/>
      <c r="V80" s="13"/>
      <c r="W80" s="12"/>
      <c r="Y80" s="16"/>
      <c r="Z80" s="13"/>
      <c r="AA80" s="13"/>
      <c r="AB80" s="12"/>
      <c r="AC80" s="1"/>
      <c r="AD80" s="16"/>
      <c r="AE80" s="13"/>
      <c r="AF80" s="13"/>
      <c r="AG80" s="22"/>
      <c r="AI80" s="16">
        <f t="shared" si="29"/>
        <v>40</v>
      </c>
      <c r="AJ80" s="66">
        <f t="shared" si="26"/>
        <v>19.272779996908245</v>
      </c>
      <c r="AK80" s="19" t="str">
        <f>AP81</f>
        <v>./|</v>
      </c>
      <c r="AL80" s="15" t="str">
        <f>AQ81</f>
        <v>'\!</v>
      </c>
      <c r="AM80" s="19"/>
      <c r="AN80" s="16">
        <f>AN78+1</f>
        <v>40</v>
      </c>
      <c r="AO80" s="7">
        <f>(AN80+AN78)/2*AN$18</f>
        <v>19.272779996908245</v>
      </c>
      <c r="AP80" s="4" t="s">
        <v>460</v>
      </c>
      <c r="AQ80" s="15" t="s">
        <v>461</v>
      </c>
    </row>
    <row r="81" spans="1:43" ht="13.5">
      <c r="A81" s="147" t="s">
        <v>103</v>
      </c>
      <c r="B81" s="147">
        <f>3^4*5^2</f>
        <v>2025</v>
      </c>
      <c r="C81" s="147">
        <f>2^11</f>
        <v>2048</v>
      </c>
      <c r="D81" s="148">
        <f t="shared" si="28"/>
        <v>19.552568808780734</v>
      </c>
      <c r="E81" s="149" t="s">
        <v>13</v>
      </c>
      <c r="F81" s="174" t="s">
        <v>103</v>
      </c>
      <c r="G81" s="175"/>
      <c r="H81" s="174" t="s">
        <v>103</v>
      </c>
      <c r="I81" s="176"/>
      <c r="J81" s="175"/>
      <c r="M81" s="126"/>
      <c r="T81" s="67"/>
      <c r="U81" s="13"/>
      <c r="V81" s="13"/>
      <c r="W81" s="12"/>
      <c r="Y81" s="16"/>
      <c r="Z81" s="13"/>
      <c r="AA81" s="13"/>
      <c r="AB81" s="12"/>
      <c r="AC81" s="1"/>
      <c r="AD81" s="16"/>
      <c r="AE81" s="13"/>
      <c r="AF81" s="13"/>
      <c r="AG81" s="22"/>
      <c r="AI81" s="62"/>
      <c r="AJ81" s="66"/>
      <c r="AK81" s="19"/>
      <c r="AL81" s="15"/>
      <c r="AM81" s="19"/>
      <c r="AN81" s="62">
        <f>AN80+(AO81-AO80)/$AN$18</f>
        <v>40.550154156030445</v>
      </c>
      <c r="AO81" s="7">
        <f>(D80+D81)/2</f>
        <v>19.541210376998357</v>
      </c>
      <c r="AP81" s="19" t="s">
        <v>13</v>
      </c>
      <c r="AQ81" s="51" t="s">
        <v>12</v>
      </c>
    </row>
    <row r="82" spans="1:43" ht="13.5">
      <c r="A82" s="199" t="s">
        <v>465</v>
      </c>
      <c r="B82" s="199">
        <f>3*29</f>
        <v>87</v>
      </c>
      <c r="C82" s="199">
        <f>2^3*11</f>
        <v>88</v>
      </c>
      <c r="D82" s="200">
        <f t="shared" si="28"/>
        <v>19.785747346282911</v>
      </c>
      <c r="E82" s="201" t="s">
        <v>463</v>
      </c>
      <c r="F82" s="130"/>
      <c r="G82" s="126"/>
      <c r="J82" s="126"/>
      <c r="M82" s="126"/>
      <c r="T82" s="67"/>
      <c r="U82" s="13"/>
      <c r="V82" s="13"/>
      <c r="W82" s="12"/>
      <c r="Y82" s="16"/>
      <c r="Z82" s="13"/>
      <c r="AA82" s="13"/>
      <c r="AB82" s="12"/>
      <c r="AC82" s="1"/>
      <c r="AD82" s="67">
        <v>10.7</v>
      </c>
      <c r="AE82" s="13">
        <f>$AO82</f>
        <v>19.760698477842631</v>
      </c>
      <c r="AF82" s="19" t="s">
        <v>82</v>
      </c>
      <c r="AG82" s="15" t="s">
        <v>83</v>
      </c>
      <c r="AI82" s="16">
        <f t="shared" si="29"/>
        <v>41</v>
      </c>
      <c r="AJ82" s="66">
        <f t="shared" si="26"/>
        <v>19.760698477842631</v>
      </c>
      <c r="AK82" s="19" t="str">
        <f>AP83</f>
        <v>)|~</v>
      </c>
      <c r="AL82" s="15" t="str">
        <f>AQ83</f>
        <v>)!~</v>
      </c>
      <c r="AM82" s="19"/>
      <c r="AN82" s="16">
        <f>AN80+1</f>
        <v>41</v>
      </c>
      <c r="AO82" s="7">
        <f>(AN82+AN80)/2*AN$18</f>
        <v>19.760698477842631</v>
      </c>
      <c r="AP82" s="19" t="s">
        <v>463</v>
      </c>
      <c r="AQ82" s="51" t="s">
        <v>464</v>
      </c>
    </row>
    <row r="83" spans="1:43" ht="13.5">
      <c r="A83" s="141" t="s">
        <v>141</v>
      </c>
      <c r="B83" s="141">
        <f>2^10*19</f>
        <v>19456</v>
      </c>
      <c r="C83" s="141">
        <f>3^9</f>
        <v>19683</v>
      </c>
      <c r="D83" s="143">
        <f t="shared" si="28"/>
        <v>20.081991656184307</v>
      </c>
      <c r="E83" s="144" t="s">
        <v>82</v>
      </c>
      <c r="F83" s="170" t="s">
        <v>141</v>
      </c>
      <c r="G83" s="171"/>
      <c r="H83" s="170" t="s">
        <v>141</v>
      </c>
      <c r="I83" s="172"/>
      <c r="J83" s="171"/>
      <c r="K83" s="170" t="s">
        <v>141</v>
      </c>
      <c r="L83" s="172"/>
      <c r="M83" s="171"/>
      <c r="T83" s="67"/>
      <c r="U83" s="13"/>
      <c r="V83" s="13"/>
      <c r="W83" s="12"/>
      <c r="Y83" s="16"/>
      <c r="Z83" s="13"/>
      <c r="AA83" s="13"/>
      <c r="AB83" s="12"/>
      <c r="AC83" s="1"/>
      <c r="AD83" s="16"/>
      <c r="AE83" s="13"/>
      <c r="AF83" s="13"/>
      <c r="AG83" s="22"/>
      <c r="AI83" s="62"/>
      <c r="AJ83" s="66"/>
      <c r="AK83" s="19"/>
      <c r="AL83" s="15"/>
      <c r="AM83" s="19"/>
      <c r="AN83" s="62">
        <f>AN82+(AO83-AO82)/$AN$18</f>
        <v>41.354917942561528</v>
      </c>
      <c r="AO83" s="7">
        <f>(D82+D83)/2</f>
        <v>19.933869501233609</v>
      </c>
      <c r="AP83" s="19" t="s">
        <v>82</v>
      </c>
      <c r="AQ83" s="15" t="s">
        <v>83</v>
      </c>
    </row>
    <row r="84" spans="1:43" ht="13.5">
      <c r="A84" s="185" t="s">
        <v>466</v>
      </c>
      <c r="B84" s="185">
        <f>11*23</f>
        <v>253</v>
      </c>
      <c r="C84" s="185">
        <f>2^8</f>
        <v>256</v>
      </c>
      <c r="D84" s="186">
        <f t="shared" ref="D84:D115" si="30">1200*LN($C84/$B84)/LN(2)</f>
        <v>20.407710366827729</v>
      </c>
      <c r="E84" s="180" t="s">
        <v>266</v>
      </c>
      <c r="F84" s="187" t="s">
        <v>466</v>
      </c>
      <c r="G84" s="182"/>
      <c r="J84" s="126"/>
      <c r="M84" s="126"/>
      <c r="T84" s="67"/>
      <c r="U84" s="13"/>
      <c r="V84" s="13"/>
      <c r="W84" s="12"/>
      <c r="Y84" s="16">
        <v>9</v>
      </c>
      <c r="Z84" s="13">
        <f>$AO84</f>
        <v>20.248616958777017</v>
      </c>
      <c r="AA84" s="19" t="s">
        <v>1</v>
      </c>
      <c r="AB84" s="15" t="s">
        <v>2</v>
      </c>
      <c r="AC84" s="1"/>
      <c r="AD84" s="16">
        <v>11</v>
      </c>
      <c r="AE84" s="13">
        <f>$AO84</f>
        <v>20.248616958777017</v>
      </c>
      <c r="AF84" s="19" t="s">
        <v>1</v>
      </c>
      <c r="AG84" s="15" t="s">
        <v>2</v>
      </c>
      <c r="AI84" s="16">
        <f t="shared" si="29"/>
        <v>42</v>
      </c>
      <c r="AJ84" s="66">
        <f t="shared" si="26"/>
        <v>20.248616958777017</v>
      </c>
      <c r="AK84" s="19" t="str">
        <f>AP84</f>
        <v>/|..</v>
      </c>
      <c r="AL84" s="15" t="str">
        <f>AQ84</f>
        <v>\!''</v>
      </c>
      <c r="AM84" s="19"/>
      <c r="AN84" s="16">
        <f>AN82+1</f>
        <v>42</v>
      </c>
      <c r="AO84" s="7">
        <f>(AN84+AN82)/2*AN$18</f>
        <v>20.248616958777017</v>
      </c>
      <c r="AP84" s="19" t="s">
        <v>266</v>
      </c>
      <c r="AQ84" s="15" t="s">
        <v>267</v>
      </c>
    </row>
    <row r="85" spans="1:43" ht="13.5">
      <c r="A85" s="199" t="s">
        <v>469</v>
      </c>
      <c r="B85" s="199">
        <f>7^4</f>
        <v>2401</v>
      </c>
      <c r="C85" s="199">
        <f>2*3^5*5</f>
        <v>2430</v>
      </c>
      <c r="D85" s="200">
        <f t="shared" si="30"/>
        <v>20.785092315272131</v>
      </c>
      <c r="E85" s="201" t="s">
        <v>467</v>
      </c>
      <c r="F85" s="130"/>
      <c r="G85" s="126"/>
      <c r="J85" s="126"/>
      <c r="M85" s="126"/>
      <c r="T85" s="67"/>
      <c r="U85" s="13"/>
      <c r="V85" s="13"/>
      <c r="W85" s="12"/>
      <c r="Y85" s="16"/>
      <c r="Z85" s="13"/>
      <c r="AA85" s="13"/>
      <c r="AB85" s="12"/>
      <c r="AC85" s="1"/>
      <c r="AD85" s="16"/>
      <c r="AE85" s="13"/>
      <c r="AF85" s="13"/>
      <c r="AG85" s="22"/>
      <c r="AI85" s="16">
        <f t="shared" si="29"/>
        <v>43</v>
      </c>
      <c r="AJ85" s="66">
        <f t="shared" si="26"/>
        <v>20.736535439711403</v>
      </c>
      <c r="AK85" s="19" t="str">
        <f>AP86</f>
        <v>/|.</v>
      </c>
      <c r="AL85" s="15" t="str">
        <f>AQ86</f>
        <v>\!'</v>
      </c>
      <c r="AM85" s="19"/>
      <c r="AN85" s="16">
        <f>AN84+1</f>
        <v>43</v>
      </c>
      <c r="AO85" s="7">
        <f>(AN85+AN84)/2*AN$18</f>
        <v>20.736535439711403</v>
      </c>
      <c r="AP85" s="19" t="s">
        <v>467</v>
      </c>
      <c r="AQ85" s="15" t="s">
        <v>468</v>
      </c>
    </row>
    <row r="86" spans="1:43" ht="13.5">
      <c r="A86" s="185" t="s">
        <v>263</v>
      </c>
      <c r="B86" s="185">
        <f>2^16</f>
        <v>65536</v>
      </c>
      <c r="C86" s="185">
        <f>3^6*7*13</f>
        <v>66339</v>
      </c>
      <c r="D86" s="186">
        <f t="shared" si="30"/>
        <v>21.083573430760026</v>
      </c>
      <c r="E86" s="180" t="s">
        <v>264</v>
      </c>
      <c r="F86" s="187" t="s">
        <v>263</v>
      </c>
      <c r="G86" s="182"/>
      <c r="J86" s="126"/>
      <c r="M86" s="126"/>
      <c r="T86" s="67"/>
      <c r="U86" s="13"/>
      <c r="V86" s="13"/>
      <c r="W86" s="12"/>
      <c r="Y86" s="16"/>
      <c r="Z86" s="13"/>
      <c r="AA86" s="13"/>
      <c r="AB86" s="12"/>
      <c r="AC86" s="1"/>
      <c r="AD86" s="16"/>
      <c r="AE86" s="13"/>
      <c r="AF86" s="13"/>
      <c r="AG86" s="22"/>
      <c r="AI86" s="62"/>
      <c r="AJ86" s="66"/>
      <c r="AK86" s="19"/>
      <c r="AL86" s="15"/>
      <c r="AM86" s="19"/>
      <c r="AN86" s="62">
        <f>AN85+(AO86-AO85)/$AN$18</f>
        <v>43.405390328576786</v>
      </c>
      <c r="AO86" s="7">
        <f>(D85+D86)/2</f>
        <v>20.934332873016078</v>
      </c>
      <c r="AP86" s="19" t="s">
        <v>264</v>
      </c>
      <c r="AQ86" s="15" t="s">
        <v>265</v>
      </c>
    </row>
    <row r="87" spans="1:43" ht="13.5">
      <c r="A87" s="135" t="s">
        <v>102</v>
      </c>
      <c r="B87" s="135">
        <f>2^4*5</f>
        <v>80</v>
      </c>
      <c r="C87" s="135">
        <f>3^4</f>
        <v>81</v>
      </c>
      <c r="D87" s="136">
        <f t="shared" si="30"/>
        <v>21.50628959671478</v>
      </c>
      <c r="E87" s="139" t="s">
        <v>1</v>
      </c>
      <c r="F87" s="163" t="s">
        <v>102</v>
      </c>
      <c r="G87" s="167"/>
      <c r="H87" s="163" t="s">
        <v>102</v>
      </c>
      <c r="I87" s="165"/>
      <c r="J87" s="167"/>
      <c r="K87" s="163" t="s">
        <v>102</v>
      </c>
      <c r="L87" s="165"/>
      <c r="M87" s="167"/>
      <c r="N87" s="163" t="s">
        <v>102</v>
      </c>
      <c r="O87" s="165"/>
      <c r="T87" s="67"/>
      <c r="U87" s="13"/>
      <c r="V87" s="13"/>
      <c r="W87" s="12"/>
      <c r="Y87" s="16"/>
      <c r="Z87" s="13"/>
      <c r="AA87" s="13"/>
      <c r="AB87" s="12"/>
      <c r="AC87" s="1"/>
      <c r="AD87" s="16"/>
      <c r="AE87" s="13"/>
      <c r="AF87" s="13"/>
      <c r="AG87" s="22"/>
      <c r="AI87" s="16">
        <f t="shared" si="29"/>
        <v>44</v>
      </c>
      <c r="AJ87" s="66">
        <f t="shared" si="26"/>
        <v>21.224453920645789</v>
      </c>
      <c r="AK87" s="19" t="str">
        <f t="shared" ref="AK87:AL89" si="31">AP87</f>
        <v>/|</v>
      </c>
      <c r="AL87" s="15" t="str">
        <f t="shared" si="31"/>
        <v>\!</v>
      </c>
      <c r="AM87" s="19"/>
      <c r="AN87" s="16">
        <f>AN85+1</f>
        <v>44</v>
      </c>
      <c r="AO87" s="7">
        <f>(AN87+AN85)/2*AN$18</f>
        <v>21.224453920645789</v>
      </c>
      <c r="AP87" s="19" t="s">
        <v>1</v>
      </c>
      <c r="AQ87" s="15" t="s">
        <v>2</v>
      </c>
    </row>
    <row r="88" spans="1:43" ht="13.5">
      <c r="A88" s="185" t="s">
        <v>369</v>
      </c>
      <c r="B88" s="185">
        <f>2^5*3^3</f>
        <v>864</v>
      </c>
      <c r="C88" s="185">
        <f>5^3*7</f>
        <v>875</v>
      </c>
      <c r="D88" s="186">
        <f t="shared" si="30"/>
        <v>21.902045467466987</v>
      </c>
      <c r="E88" s="180" t="s">
        <v>286</v>
      </c>
      <c r="F88" s="187" t="s">
        <v>369</v>
      </c>
      <c r="G88" s="182"/>
      <c r="J88" s="126"/>
      <c r="M88" s="126"/>
      <c r="T88" s="67"/>
      <c r="U88" s="13"/>
      <c r="V88" s="13"/>
      <c r="W88" s="12"/>
      <c r="Y88" s="16"/>
      <c r="Z88" s="13"/>
      <c r="AA88" s="13"/>
      <c r="AB88" s="12"/>
      <c r="AC88" s="1"/>
      <c r="AD88" s="16"/>
      <c r="AE88" s="13"/>
      <c r="AF88" s="13"/>
      <c r="AG88" s="22"/>
      <c r="AI88" s="16">
        <f t="shared" si="29"/>
        <v>45</v>
      </c>
      <c r="AJ88" s="66">
        <f t="shared" si="26"/>
        <v>21.712372401580176</v>
      </c>
      <c r="AK88" s="19" t="str">
        <f t="shared" si="31"/>
        <v>/|'</v>
      </c>
      <c r="AL88" s="15" t="str">
        <f t="shared" si="31"/>
        <v>\!.</v>
      </c>
      <c r="AM88" s="19"/>
      <c r="AN88" s="16">
        <f>AN87+1</f>
        <v>45</v>
      </c>
      <c r="AO88" s="7">
        <f>(AN88+AN87)/2*AN$18</f>
        <v>21.712372401580176</v>
      </c>
      <c r="AP88" s="19" t="s">
        <v>286</v>
      </c>
      <c r="AQ88" s="15" t="s">
        <v>287</v>
      </c>
    </row>
    <row r="89" spans="1:43" ht="13.5">
      <c r="A89" s="185" t="s">
        <v>211</v>
      </c>
      <c r="B89" s="185">
        <f>3^5*13</f>
        <v>3159</v>
      </c>
      <c r="C89" s="185">
        <f>2^7*5^2</f>
        <v>3200</v>
      </c>
      <c r="D89" s="186">
        <f t="shared" si="30"/>
        <v>22.324761633422071</v>
      </c>
      <c r="E89" s="183" t="s">
        <v>212</v>
      </c>
      <c r="F89" s="187" t="s">
        <v>211</v>
      </c>
      <c r="G89" s="184"/>
      <c r="J89" s="127"/>
      <c r="M89" s="127"/>
      <c r="T89" s="67"/>
      <c r="U89" s="13"/>
      <c r="V89" s="13"/>
      <c r="W89" s="12"/>
      <c r="Y89" s="16"/>
      <c r="Z89" s="13"/>
      <c r="AA89" s="13"/>
      <c r="AB89" s="12"/>
      <c r="AC89" s="1"/>
      <c r="AD89" s="16"/>
      <c r="AE89" s="13"/>
      <c r="AF89" s="13"/>
      <c r="AG89" s="22"/>
      <c r="AI89" s="16">
        <f t="shared" si="29"/>
        <v>46</v>
      </c>
      <c r="AJ89" s="66">
        <f t="shared" si="26"/>
        <v>22.200290882514562</v>
      </c>
      <c r="AK89" s="19" t="str">
        <f t="shared" si="31"/>
        <v>/|''</v>
      </c>
      <c r="AL89" s="15" t="str">
        <f t="shared" si="31"/>
        <v>\!..</v>
      </c>
      <c r="AM89" s="19"/>
      <c r="AN89" s="16">
        <f>AN88+1</f>
        <v>46</v>
      </c>
      <c r="AO89" s="7">
        <f>(AN89+AN88)/2*AN$18</f>
        <v>22.200290882514562</v>
      </c>
      <c r="AP89" s="4" t="s">
        <v>212</v>
      </c>
      <c r="AQ89" s="51" t="s">
        <v>213</v>
      </c>
    </row>
    <row r="90" spans="1:43" ht="13.5">
      <c r="A90" s="199" t="s">
        <v>472</v>
      </c>
      <c r="B90" s="199">
        <f>7*11</f>
        <v>77</v>
      </c>
      <c r="C90" s="199">
        <f>2*3*13</f>
        <v>78</v>
      </c>
      <c r="D90" s="200">
        <f t="shared" si="30"/>
        <v>22.338813800816194</v>
      </c>
      <c r="E90" s="202" t="s">
        <v>470</v>
      </c>
      <c r="F90" s="130"/>
      <c r="G90" s="128"/>
      <c r="J90" s="128"/>
      <c r="M90" s="128"/>
      <c r="T90" s="67"/>
      <c r="U90" s="13"/>
      <c r="V90" s="13"/>
      <c r="W90" s="12"/>
      <c r="Y90" s="16"/>
      <c r="Z90" s="13"/>
      <c r="AA90" s="13"/>
      <c r="AB90" s="12"/>
      <c r="AC90" s="1"/>
      <c r="AD90" s="16"/>
      <c r="AE90" s="13"/>
      <c r="AF90" s="13"/>
      <c r="AG90" s="22"/>
      <c r="AI90" s="62"/>
      <c r="AJ90" s="66"/>
      <c r="AK90" s="19"/>
      <c r="AL90" s="15"/>
      <c r="AM90" s="19"/>
      <c r="AN90" s="62">
        <f>AN89+(AO90-AO89)/$AN$18</f>
        <v>46.269505746846789</v>
      </c>
      <c r="AO90" s="7">
        <f>(D89+D90)/2</f>
        <v>22.331787717119134</v>
      </c>
      <c r="AP90" s="58" t="s">
        <v>470</v>
      </c>
      <c r="AQ90" s="68" t="s">
        <v>471</v>
      </c>
    </row>
    <row r="91" spans="1:43" ht="13.5">
      <c r="A91" s="147" t="s">
        <v>219</v>
      </c>
      <c r="B91" s="147">
        <f>3*5^2</f>
        <v>75</v>
      </c>
      <c r="C91" s="147">
        <f>2^2*19</f>
        <v>76</v>
      </c>
      <c r="D91" s="152">
        <f t="shared" si="30"/>
        <v>22.930587537245689</v>
      </c>
      <c r="E91" s="149" t="s">
        <v>473</v>
      </c>
      <c r="F91" s="174" t="s">
        <v>219</v>
      </c>
      <c r="G91" s="175"/>
      <c r="H91" s="174" t="s">
        <v>219</v>
      </c>
      <c r="I91" s="176"/>
      <c r="J91" s="175"/>
      <c r="M91" s="126"/>
      <c r="T91" s="67"/>
      <c r="U91" s="13"/>
      <c r="V91" s="13"/>
      <c r="W91" s="12"/>
      <c r="Y91" s="16">
        <v>10</v>
      </c>
      <c r="Z91" s="13">
        <f>$AO91</f>
        <v>22.688209363448948</v>
      </c>
      <c r="AA91" s="19" t="s">
        <v>46</v>
      </c>
      <c r="AB91" s="15" t="s">
        <v>47</v>
      </c>
      <c r="AC91" s="1"/>
      <c r="AD91" s="16">
        <v>12</v>
      </c>
      <c r="AE91" s="13">
        <f>$AO91</f>
        <v>22.688209363448948</v>
      </c>
      <c r="AF91" s="19" t="s">
        <v>473</v>
      </c>
      <c r="AG91" s="51" t="s">
        <v>474</v>
      </c>
      <c r="AI91" s="16">
        <f t="shared" si="29"/>
        <v>47</v>
      </c>
      <c r="AJ91" s="66">
        <f t="shared" si="26"/>
        <v>22.688209363448948</v>
      </c>
      <c r="AK91" s="19" t="str">
        <f>AP91</f>
        <v>.)/|</v>
      </c>
      <c r="AL91" s="15" t="str">
        <f>AQ91</f>
        <v>')\!</v>
      </c>
      <c r="AM91" s="19"/>
      <c r="AN91" s="16">
        <f>AN89+1</f>
        <v>47</v>
      </c>
      <c r="AO91" s="7">
        <f>(AN91+AN89)/2*AN$18</f>
        <v>22.688209363448948</v>
      </c>
      <c r="AP91" s="19" t="s">
        <v>473</v>
      </c>
      <c r="AQ91" s="51" t="s">
        <v>474</v>
      </c>
    </row>
    <row r="92" spans="1:43" ht="13.5">
      <c r="A92" s="147" t="s">
        <v>268</v>
      </c>
      <c r="B92" s="147">
        <f>2^19</f>
        <v>524288</v>
      </c>
      <c r="C92" s="150">
        <f>3^12</f>
        <v>531441</v>
      </c>
      <c r="D92" s="148">
        <f t="shared" si="30"/>
        <v>23.460010384649014</v>
      </c>
      <c r="E92" s="151" t="s">
        <v>51</v>
      </c>
      <c r="F92" s="174" t="s">
        <v>268</v>
      </c>
      <c r="G92" s="177"/>
      <c r="H92" s="174" t="s">
        <v>268</v>
      </c>
      <c r="I92" s="176"/>
      <c r="J92" s="177"/>
      <c r="M92" s="127"/>
      <c r="T92" s="67"/>
      <c r="U92" s="13"/>
      <c r="V92" s="13"/>
      <c r="W92" s="12"/>
      <c r="Y92" s="16"/>
      <c r="Z92" s="13"/>
      <c r="AA92" s="13"/>
      <c r="AB92" s="12"/>
      <c r="AC92" s="1"/>
      <c r="AD92" s="16">
        <v>12.4</v>
      </c>
      <c r="AE92" s="13">
        <f>$AO92</f>
        <v>23.176127844383334</v>
      </c>
      <c r="AF92" s="4" t="s">
        <v>51</v>
      </c>
      <c r="AG92" s="15" t="s">
        <v>52</v>
      </c>
      <c r="AI92" s="16">
        <f t="shared" si="29"/>
        <v>48</v>
      </c>
      <c r="AJ92" s="66">
        <f t="shared" si="26"/>
        <v>23.176127844383334</v>
      </c>
      <c r="AK92" s="19" t="str">
        <f>AP92</f>
        <v>'/|</v>
      </c>
      <c r="AL92" s="15" t="str">
        <f>AQ92</f>
        <v>.\!</v>
      </c>
      <c r="AM92" s="19"/>
      <c r="AN92" s="16">
        <f>AN91+1</f>
        <v>48</v>
      </c>
      <c r="AO92" s="7">
        <f>(AN92+AN91)/2*AN$18</f>
        <v>23.176127844383334</v>
      </c>
      <c r="AP92" s="4" t="s">
        <v>51</v>
      </c>
      <c r="AQ92" s="15" t="s">
        <v>52</v>
      </c>
    </row>
    <row r="93" spans="1:43" ht="13.5">
      <c r="A93" s="185" t="s">
        <v>475</v>
      </c>
      <c r="B93" s="185">
        <f>2^20</f>
        <v>1048576</v>
      </c>
      <c r="C93" s="185">
        <f>3^5*5^4*7</f>
        <v>1063125</v>
      </c>
      <c r="D93" s="186">
        <f t="shared" si="30"/>
        <v>23.855766255401289</v>
      </c>
      <c r="E93" s="183" t="s">
        <v>289</v>
      </c>
      <c r="F93" s="187" t="s">
        <v>475</v>
      </c>
      <c r="G93" s="184"/>
      <c r="J93" s="127"/>
      <c r="M93" s="127"/>
      <c r="T93" s="67"/>
      <c r="U93" s="13"/>
      <c r="V93" s="13"/>
      <c r="W93" s="12"/>
      <c r="Y93" s="16"/>
      <c r="Z93" s="13"/>
      <c r="AA93" s="13"/>
      <c r="AB93" s="12"/>
      <c r="AC93" s="1"/>
      <c r="AD93" s="16"/>
      <c r="AE93" s="13"/>
      <c r="AF93" s="13"/>
      <c r="AG93" s="22"/>
      <c r="AI93" s="16">
        <f t="shared" si="29"/>
        <v>49</v>
      </c>
      <c r="AJ93" s="66">
        <f t="shared" si="26"/>
        <v>23.664046325317717</v>
      </c>
      <c r="AK93" s="19" t="str">
        <f t="shared" ref="AK93:AL96" si="32">AP93</f>
        <v>'/|'</v>
      </c>
      <c r="AL93" s="15" t="str">
        <f t="shared" si="32"/>
        <v>.\!.</v>
      </c>
      <c r="AM93" s="19"/>
      <c r="AN93" s="16">
        <f>AN92+1</f>
        <v>49</v>
      </c>
      <c r="AO93" s="7">
        <f>(AN93+AN92)/2*AN$18</f>
        <v>23.664046325317717</v>
      </c>
      <c r="AP93" s="4" t="s">
        <v>289</v>
      </c>
      <c r="AQ93" s="15" t="s">
        <v>288</v>
      </c>
    </row>
    <row r="94" spans="1:43" ht="13.5">
      <c r="A94" s="185" t="s">
        <v>354</v>
      </c>
      <c r="B94" s="185">
        <f>3^5*5</f>
        <v>1215</v>
      </c>
      <c r="C94" s="185">
        <f>2^4*7*11</f>
        <v>1232</v>
      </c>
      <c r="D94" s="186">
        <f t="shared" si="30"/>
        <v>24.05513064210966</v>
      </c>
      <c r="E94" s="180" t="s">
        <v>476</v>
      </c>
      <c r="F94" s="187" t="s">
        <v>354</v>
      </c>
      <c r="G94" s="182"/>
      <c r="J94" s="129"/>
      <c r="M94" s="129"/>
      <c r="T94" s="67"/>
      <c r="U94" s="13"/>
      <c r="V94" s="13"/>
      <c r="W94" s="12"/>
      <c r="Y94" s="16"/>
      <c r="Z94" s="13"/>
      <c r="AA94" s="13"/>
      <c r="AB94" s="12"/>
      <c r="AC94" s="1"/>
      <c r="AD94" s="16">
        <v>13</v>
      </c>
      <c r="AE94" s="13">
        <f>$AO94</f>
        <v>23.955448448755476</v>
      </c>
      <c r="AF94" s="19" t="s">
        <v>46</v>
      </c>
      <c r="AG94" s="15" t="s">
        <v>47</v>
      </c>
      <c r="AI94" s="62">
        <f t="shared" si="29"/>
        <v>49.597235265365867</v>
      </c>
      <c r="AJ94" s="66">
        <f t="shared" si="26"/>
        <v>23.955448448755476</v>
      </c>
      <c r="AK94" s="19" t="str">
        <f t="shared" si="32"/>
        <v>)/|..</v>
      </c>
      <c r="AL94" s="15" t="str">
        <f t="shared" si="32"/>
        <v>)\!''</v>
      </c>
      <c r="AM94" s="19"/>
      <c r="AN94" s="62">
        <f>AN93+(AO94-AO93)/$AN$18</f>
        <v>49.597235265365867</v>
      </c>
      <c r="AO94" s="7">
        <f>(D93+D94)/2</f>
        <v>23.955448448755476</v>
      </c>
      <c r="AP94" s="57" t="s">
        <v>476</v>
      </c>
      <c r="AQ94" s="68" t="s">
        <v>477</v>
      </c>
    </row>
    <row r="95" spans="1:43" ht="13.5">
      <c r="A95" s="185" t="s">
        <v>478</v>
      </c>
      <c r="B95" s="185">
        <f>2^8*13</f>
        <v>3328</v>
      </c>
      <c r="C95" s="185">
        <f>3^3*5^3</f>
        <v>3375</v>
      </c>
      <c r="D95" s="186">
        <f t="shared" si="30"/>
        <v>24.278482421356287</v>
      </c>
      <c r="E95" s="180" t="s">
        <v>290</v>
      </c>
      <c r="F95" s="187" t="s">
        <v>478</v>
      </c>
      <c r="G95" s="182"/>
      <c r="J95" s="126"/>
      <c r="M95" s="126"/>
      <c r="T95" s="67">
        <v>5</v>
      </c>
      <c r="U95" s="13">
        <f>$AO95</f>
        <v>24.151964806252103</v>
      </c>
      <c r="V95" s="19" t="s">
        <v>16</v>
      </c>
      <c r="W95" s="15" t="s">
        <v>17</v>
      </c>
      <c r="Y95" s="16"/>
      <c r="Z95" s="13"/>
      <c r="AA95" s="13"/>
      <c r="AB95" s="12"/>
      <c r="AC95" s="1"/>
      <c r="AD95" s="16"/>
      <c r="AE95" s="13"/>
      <c r="AF95" s="19"/>
      <c r="AG95" s="15"/>
      <c r="AI95" s="16">
        <f t="shared" si="29"/>
        <v>50</v>
      </c>
      <c r="AJ95" s="66">
        <f t="shared" si="26"/>
        <v>24.151964806252103</v>
      </c>
      <c r="AK95" s="19" t="str">
        <f t="shared" si="32"/>
        <v>)/|.</v>
      </c>
      <c r="AL95" s="15" t="str">
        <f t="shared" si="32"/>
        <v>)\!'</v>
      </c>
      <c r="AM95" s="19"/>
      <c r="AN95" s="16">
        <f>AN93+1</f>
        <v>50</v>
      </c>
      <c r="AO95" s="7">
        <f>(AN95+AN93)/2*AN$18</f>
        <v>24.151964806252103</v>
      </c>
      <c r="AP95" s="19" t="s">
        <v>290</v>
      </c>
      <c r="AQ95" s="15" t="s">
        <v>291</v>
      </c>
    </row>
    <row r="96" spans="1:43" ht="13.5">
      <c r="A96" s="141" t="s">
        <v>145</v>
      </c>
      <c r="B96" s="141">
        <f>2^13*5</f>
        <v>40960</v>
      </c>
      <c r="C96" s="142">
        <f>3^7*19</f>
        <v>41553</v>
      </c>
      <c r="D96" s="143">
        <f t="shared" si="30"/>
        <v>24.884308325179774</v>
      </c>
      <c r="E96" s="144" t="s">
        <v>46</v>
      </c>
      <c r="F96" s="170" t="s">
        <v>145</v>
      </c>
      <c r="G96" s="171"/>
      <c r="H96" s="170" t="s">
        <v>145</v>
      </c>
      <c r="I96" s="172"/>
      <c r="J96" s="171"/>
      <c r="K96" s="170" t="s">
        <v>145</v>
      </c>
      <c r="L96" s="172"/>
      <c r="M96" s="171"/>
      <c r="T96" s="67"/>
      <c r="U96" s="13"/>
      <c r="V96" s="13"/>
      <c r="W96" s="12"/>
      <c r="Y96" s="16"/>
      <c r="Z96" s="13"/>
      <c r="AA96" s="13"/>
      <c r="AB96" s="12"/>
      <c r="AC96" s="1"/>
      <c r="AD96" s="16"/>
      <c r="AE96" s="13"/>
      <c r="AF96" s="19"/>
      <c r="AG96" s="15"/>
      <c r="AH96" s="19"/>
      <c r="AI96" s="73">
        <f t="shared" si="29"/>
        <v>51</v>
      </c>
      <c r="AJ96" s="74">
        <f t="shared" si="26"/>
        <v>24.639883287186489</v>
      </c>
      <c r="AK96" s="19" t="str">
        <f t="shared" si="32"/>
        <v>)/|</v>
      </c>
      <c r="AL96" s="15" t="str">
        <f t="shared" si="32"/>
        <v>)\!</v>
      </c>
      <c r="AM96" s="19"/>
      <c r="AN96" s="16">
        <f>AN95+1</f>
        <v>51</v>
      </c>
      <c r="AO96" s="7">
        <f>(AN96+AN95)/2*AN$18</f>
        <v>24.639883287186489</v>
      </c>
      <c r="AP96" s="19" t="s">
        <v>46</v>
      </c>
      <c r="AQ96" s="15" t="s">
        <v>47</v>
      </c>
    </row>
    <row r="97" spans="1:43" ht="13.5">
      <c r="A97" s="178" t="s">
        <v>142</v>
      </c>
      <c r="B97" s="178">
        <f>3^8</f>
        <v>6561</v>
      </c>
      <c r="C97" s="178">
        <f>2^9*13</f>
        <v>6656</v>
      </c>
      <c r="D97" s="186">
        <f t="shared" si="30"/>
        <v>24.887654846211269</v>
      </c>
      <c r="E97" s="180" t="s">
        <v>143</v>
      </c>
      <c r="F97" s="181" t="s">
        <v>142</v>
      </c>
      <c r="G97" s="182"/>
      <c r="J97" s="126"/>
      <c r="M97" s="126"/>
      <c r="T97" s="67"/>
      <c r="U97" s="13"/>
      <c r="V97" s="13"/>
      <c r="W97" s="12"/>
      <c r="Y97" s="16"/>
      <c r="Z97" s="13"/>
      <c r="AA97" s="13"/>
      <c r="AB97" s="12"/>
      <c r="AC97" s="1"/>
      <c r="AD97" s="67">
        <v>13.5</v>
      </c>
      <c r="AE97" s="13">
        <f>$AO97</f>
        <v>24.885981585695522</v>
      </c>
      <c r="AF97" s="19" t="s">
        <v>78</v>
      </c>
      <c r="AG97" s="51" t="s">
        <v>79</v>
      </c>
      <c r="AI97" s="75">
        <f t="shared" si="29"/>
        <v>51.504384048002741</v>
      </c>
      <c r="AJ97" s="74">
        <f t="shared" si="26"/>
        <v>24.885981585695522</v>
      </c>
      <c r="AK97" s="19" t="str">
        <f>AP97</f>
        <v>.|).</v>
      </c>
      <c r="AL97" s="15" t="str">
        <f>AQ97</f>
        <v>'!)'</v>
      </c>
      <c r="AM97" s="19"/>
      <c r="AN97" s="62">
        <f>AN96+(AO97-AO96)/$AN$18</f>
        <v>51.504384048002741</v>
      </c>
      <c r="AO97" s="7">
        <f>(D96+D97)/2</f>
        <v>24.885981585695522</v>
      </c>
      <c r="AP97" s="19" t="s">
        <v>143</v>
      </c>
      <c r="AQ97" s="51" t="s">
        <v>144</v>
      </c>
    </row>
    <row r="98" spans="1:43" ht="13.5">
      <c r="A98" s="203" t="s">
        <v>359</v>
      </c>
      <c r="B98" s="203">
        <v>68</v>
      </c>
      <c r="C98" s="203">
        <v>69</v>
      </c>
      <c r="D98" s="200">
        <f t="shared" si="30"/>
        <v>25.273938633395485</v>
      </c>
      <c r="E98" s="201" t="s">
        <v>479</v>
      </c>
      <c r="F98" s="11"/>
      <c r="G98" s="129"/>
      <c r="J98" s="129"/>
      <c r="M98" s="129"/>
      <c r="T98" s="67"/>
      <c r="U98" s="13"/>
      <c r="V98" s="13"/>
      <c r="W98" s="12"/>
      <c r="Y98" s="16"/>
      <c r="Z98" s="13"/>
      <c r="AA98" s="13"/>
      <c r="AB98" s="12"/>
      <c r="AC98" s="1"/>
      <c r="AD98" s="16"/>
      <c r="AE98" s="13"/>
      <c r="AF98" s="13"/>
      <c r="AG98" s="22"/>
      <c r="AI98" s="16">
        <f t="shared" si="29"/>
        <v>52</v>
      </c>
      <c r="AJ98" s="66">
        <f t="shared" si="26"/>
        <v>25.127801768120875</v>
      </c>
      <c r="AK98" s="19" t="str">
        <f>AP99</f>
        <v>.|)</v>
      </c>
      <c r="AL98" s="15" t="str">
        <f>AQ99</f>
        <v>'!)</v>
      </c>
      <c r="AM98" s="19"/>
      <c r="AN98" s="16">
        <f>AN96+1</f>
        <v>52</v>
      </c>
      <c r="AO98" s="7">
        <f>(AN98+AN96)/2*AN$18</f>
        <v>25.127801768120875</v>
      </c>
      <c r="AP98" s="57" t="s">
        <v>479</v>
      </c>
      <c r="AQ98" s="68" t="s">
        <v>480</v>
      </c>
    </row>
    <row r="99" spans="1:43" ht="13.5">
      <c r="A99" s="147" t="s">
        <v>481</v>
      </c>
      <c r="B99" s="153">
        <f>3^10*5*7</f>
        <v>2066715</v>
      </c>
      <c r="C99" s="154">
        <f>2^21</f>
        <v>2097152</v>
      </c>
      <c r="D99" s="148">
        <f t="shared" si="30"/>
        <v>25.310371012165891</v>
      </c>
      <c r="E99" s="149" t="s">
        <v>78</v>
      </c>
      <c r="F99" s="174" t="s">
        <v>481</v>
      </c>
      <c r="G99" s="175"/>
      <c r="H99" s="174" t="s">
        <v>481</v>
      </c>
      <c r="I99" s="176"/>
      <c r="J99" s="175"/>
      <c r="M99" s="126"/>
      <c r="T99" s="67"/>
      <c r="U99" s="13"/>
      <c r="V99" s="13"/>
      <c r="W99" s="12"/>
      <c r="Y99" s="16"/>
      <c r="Z99" s="13"/>
      <c r="AA99" s="13"/>
      <c r="AB99" s="12"/>
      <c r="AC99" s="1"/>
      <c r="AD99" s="16"/>
      <c r="AE99" s="13"/>
      <c r="AF99" s="13"/>
      <c r="AG99" s="22"/>
      <c r="AI99" s="62"/>
      <c r="AJ99" s="66"/>
      <c r="AK99" s="19"/>
      <c r="AL99" s="15"/>
      <c r="AM99" s="19"/>
      <c r="AN99" s="62">
        <f>AN98+(AO99-AO98)/$AN$18</f>
        <v>52.336845315522929</v>
      </c>
      <c r="AO99" s="7">
        <f>(D98+D99)/2</f>
        <v>25.292154822780688</v>
      </c>
      <c r="AP99" s="19" t="s">
        <v>78</v>
      </c>
      <c r="AQ99" s="51" t="s">
        <v>79</v>
      </c>
    </row>
    <row r="100" spans="1:43" ht="13.5">
      <c r="A100" s="185" t="s">
        <v>229</v>
      </c>
      <c r="B100" s="185">
        <f>2^11</f>
        <v>2048</v>
      </c>
      <c r="C100" s="185">
        <f>3^3*7*11</f>
        <v>2079</v>
      </c>
      <c r="D100" s="186">
        <f t="shared" si="30"/>
        <v>26.00885143004389</v>
      </c>
      <c r="E100" s="180" t="s">
        <v>230</v>
      </c>
      <c r="F100" s="187" t="s">
        <v>229</v>
      </c>
      <c r="G100" s="182"/>
      <c r="J100" s="126"/>
      <c r="M100" s="126"/>
      <c r="T100" s="67"/>
      <c r="U100" s="13"/>
      <c r="V100" s="13"/>
      <c r="W100" s="12"/>
      <c r="Y100" s="16"/>
      <c r="Z100" s="13"/>
      <c r="AA100" s="19"/>
      <c r="AB100" s="12"/>
      <c r="AC100" s="1"/>
      <c r="AD100" s="16"/>
      <c r="AE100" s="13"/>
      <c r="AF100" s="13"/>
      <c r="AG100" s="22"/>
      <c r="AI100" s="16">
        <f t="shared" si="29"/>
        <v>53</v>
      </c>
      <c r="AJ100" s="66">
        <f t="shared" si="26"/>
        <v>25.615720249055261</v>
      </c>
      <c r="AK100" s="19" t="str">
        <f t="shared" ref="AK100:AL104" si="33">AP100</f>
        <v>.|)'</v>
      </c>
      <c r="AL100" s="15" t="str">
        <f t="shared" si="33"/>
        <v>'!).</v>
      </c>
      <c r="AM100" s="19"/>
      <c r="AN100" s="16">
        <f>AN98+1</f>
        <v>53</v>
      </c>
      <c r="AO100" s="7">
        <f>(AN100+AN98)/2*AN$18</f>
        <v>25.615720249055261</v>
      </c>
      <c r="AP100" s="19" t="s">
        <v>230</v>
      </c>
      <c r="AQ100" s="51" t="s">
        <v>231</v>
      </c>
    </row>
    <row r="101" spans="1:43" ht="13.5">
      <c r="A101" s="185" t="s">
        <v>370</v>
      </c>
      <c r="B101" s="185">
        <f>5*13</f>
        <v>65</v>
      </c>
      <c r="C101" s="185">
        <f>2*3*11</f>
        <v>66</v>
      </c>
      <c r="D101" s="186">
        <f t="shared" si="30"/>
        <v>26.431567595998626</v>
      </c>
      <c r="E101" s="180" t="s">
        <v>292</v>
      </c>
      <c r="F101" s="187" t="s">
        <v>370</v>
      </c>
      <c r="G101" s="182"/>
      <c r="J101" s="126"/>
      <c r="M101" s="126"/>
      <c r="T101" s="67"/>
      <c r="U101" s="13"/>
      <c r="V101" s="13"/>
      <c r="W101" s="12"/>
      <c r="Y101" s="16">
        <v>11</v>
      </c>
      <c r="Z101" s="13">
        <f>$AO101</f>
        <v>26.103638729989648</v>
      </c>
      <c r="AA101" s="19" t="s">
        <v>16</v>
      </c>
      <c r="AB101" s="15" t="s">
        <v>17</v>
      </c>
      <c r="AC101" s="1"/>
      <c r="AD101" s="16">
        <v>14</v>
      </c>
      <c r="AE101" s="13">
        <f>$AO101</f>
        <v>26.103638729989648</v>
      </c>
      <c r="AF101" s="19" t="s">
        <v>16</v>
      </c>
      <c r="AG101" s="15" t="s">
        <v>17</v>
      </c>
      <c r="AI101" s="16">
        <f t="shared" si="29"/>
        <v>54</v>
      </c>
      <c r="AJ101" s="66">
        <f t="shared" si="26"/>
        <v>26.103638729989648</v>
      </c>
      <c r="AK101" s="19" t="str">
        <f t="shared" si="33"/>
        <v>|)..</v>
      </c>
      <c r="AL101" s="15" t="str">
        <f t="shared" si="33"/>
        <v>!)''</v>
      </c>
      <c r="AM101" s="19"/>
      <c r="AN101" s="16">
        <f>AN100+1</f>
        <v>54</v>
      </c>
      <c r="AO101" s="7">
        <f>(AN101+AN100)/2*AN$18</f>
        <v>26.103638729989648</v>
      </c>
      <c r="AP101" s="19" t="s">
        <v>292</v>
      </c>
      <c r="AQ101" s="15" t="s">
        <v>293</v>
      </c>
    </row>
    <row r="102" spans="1:43" ht="13.5">
      <c r="A102" s="185" t="s">
        <v>146</v>
      </c>
      <c r="B102" s="191">
        <f>2^6</f>
        <v>64</v>
      </c>
      <c r="C102" s="185">
        <f>5*13</f>
        <v>65</v>
      </c>
      <c r="D102" s="186">
        <f t="shared" si="30"/>
        <v>26.841375634145415</v>
      </c>
      <c r="E102" s="180" t="s">
        <v>240</v>
      </c>
      <c r="F102" s="187" t="s">
        <v>146</v>
      </c>
      <c r="G102" s="182"/>
      <c r="J102" s="126"/>
      <c r="M102" s="126"/>
      <c r="T102" s="67"/>
      <c r="U102" s="13"/>
      <c r="V102" s="13"/>
      <c r="W102" s="12"/>
      <c r="Y102" s="16"/>
      <c r="Z102" s="13"/>
      <c r="AA102" s="13"/>
      <c r="AB102" s="12"/>
      <c r="AC102" s="1"/>
      <c r="AD102" s="16"/>
      <c r="AE102" s="13"/>
      <c r="AF102" s="13"/>
      <c r="AG102" s="22"/>
      <c r="AI102" s="16">
        <f t="shared" si="29"/>
        <v>55</v>
      </c>
      <c r="AJ102" s="66">
        <f t="shared" si="26"/>
        <v>26.591557210924034</v>
      </c>
      <c r="AK102" s="19" t="str">
        <f t="shared" si="33"/>
        <v>|).</v>
      </c>
      <c r="AL102" s="15" t="str">
        <f t="shared" si="33"/>
        <v>!)'</v>
      </c>
      <c r="AM102" s="19"/>
      <c r="AN102" s="16">
        <f>AN101+1</f>
        <v>55</v>
      </c>
      <c r="AO102" s="7">
        <f>(AN102+AN101)/2*AN$18</f>
        <v>26.591557210924034</v>
      </c>
      <c r="AP102" s="19" t="s">
        <v>240</v>
      </c>
      <c r="AQ102" s="15" t="s">
        <v>241</v>
      </c>
    </row>
    <row r="103" spans="1:43" ht="13.5">
      <c r="A103" s="135" t="s">
        <v>92</v>
      </c>
      <c r="B103" s="135">
        <f>3^2*7</f>
        <v>63</v>
      </c>
      <c r="C103" s="135">
        <f>2^6</f>
        <v>64</v>
      </c>
      <c r="D103" s="136">
        <f t="shared" si="30"/>
        <v>27.264091800100136</v>
      </c>
      <c r="E103" s="139" t="s">
        <v>16</v>
      </c>
      <c r="F103" s="163" t="s">
        <v>92</v>
      </c>
      <c r="G103" s="167"/>
      <c r="H103" s="163" t="s">
        <v>92</v>
      </c>
      <c r="I103" s="165"/>
      <c r="J103" s="167"/>
      <c r="K103" s="163" t="s">
        <v>92</v>
      </c>
      <c r="L103" s="165"/>
      <c r="M103" s="167"/>
      <c r="N103" s="163" t="s">
        <v>92</v>
      </c>
      <c r="O103" s="165"/>
      <c r="T103" s="67"/>
      <c r="U103" s="13"/>
      <c r="V103" s="13"/>
      <c r="W103" s="12"/>
      <c r="Y103" s="16"/>
      <c r="Z103" s="13"/>
      <c r="AA103" s="13"/>
      <c r="AB103" s="12"/>
      <c r="AC103" s="1"/>
      <c r="AD103" s="16"/>
      <c r="AE103" s="13"/>
      <c r="AF103" s="13"/>
      <c r="AG103" s="22"/>
      <c r="AI103" s="16">
        <f t="shared" ref="AI103:AI121" si="34">AN103</f>
        <v>56</v>
      </c>
      <c r="AJ103" s="66">
        <f t="shared" si="26"/>
        <v>27.07947569185842</v>
      </c>
      <c r="AK103" s="19" t="str">
        <f t="shared" si="33"/>
        <v>|)</v>
      </c>
      <c r="AL103" s="15" t="str">
        <f t="shared" si="33"/>
        <v>!)</v>
      </c>
      <c r="AM103" s="19"/>
      <c r="AN103" s="16">
        <f>AN102+1</f>
        <v>56</v>
      </c>
      <c r="AO103" s="7">
        <f>(AN103+AN102)/2*AN$18</f>
        <v>27.07947569185842</v>
      </c>
      <c r="AP103" s="19" t="s">
        <v>16</v>
      </c>
      <c r="AQ103" s="15" t="s">
        <v>17</v>
      </c>
    </row>
    <row r="104" spans="1:43" ht="13.5">
      <c r="A104" s="185" t="s">
        <v>482</v>
      </c>
      <c r="B104" s="185">
        <f>3^9</f>
        <v>19683</v>
      </c>
      <c r="C104" s="185">
        <f>2^5*5^4</f>
        <v>20000</v>
      </c>
      <c r="D104" s="186">
        <f t="shared" si="30"/>
        <v>27.659847670852461</v>
      </c>
      <c r="E104" s="180" t="s">
        <v>209</v>
      </c>
      <c r="F104" s="187" t="s">
        <v>482</v>
      </c>
      <c r="G104" s="182"/>
      <c r="J104" s="126"/>
      <c r="M104" s="126"/>
      <c r="T104" s="67"/>
      <c r="U104" s="13"/>
      <c r="V104" s="13"/>
      <c r="W104" s="12"/>
      <c r="Y104" s="16"/>
      <c r="Z104" s="13"/>
      <c r="AA104" s="13"/>
      <c r="AB104" s="12"/>
      <c r="AC104" s="1"/>
      <c r="AD104" s="16"/>
      <c r="AE104" s="13"/>
      <c r="AF104" s="13"/>
      <c r="AG104" s="22"/>
      <c r="AI104" s="16">
        <f t="shared" si="34"/>
        <v>57</v>
      </c>
      <c r="AJ104" s="66">
        <f t="shared" si="26"/>
        <v>27.567394172792806</v>
      </c>
      <c r="AK104" s="19" t="str">
        <f t="shared" si="33"/>
        <v>|)'</v>
      </c>
      <c r="AL104" s="15" t="str">
        <f t="shared" si="33"/>
        <v>!).</v>
      </c>
      <c r="AM104" s="19"/>
      <c r="AN104" s="16">
        <f>AN103+1</f>
        <v>57</v>
      </c>
      <c r="AO104" s="7">
        <f>(AN104+AN103)/2*AN$18</f>
        <v>27.567394172792806</v>
      </c>
      <c r="AP104" s="19" t="s">
        <v>209</v>
      </c>
      <c r="AQ104" s="15" t="s">
        <v>210</v>
      </c>
    </row>
    <row r="105" spans="1:43" ht="13.5">
      <c r="A105" s="199" t="s">
        <v>371</v>
      </c>
      <c r="B105" s="199">
        <f>3^3*5^2</f>
        <v>675</v>
      </c>
      <c r="C105" s="199">
        <f>2*7^3</f>
        <v>686</v>
      </c>
      <c r="D105" s="200">
        <f t="shared" si="30"/>
        <v>27.985289081542827</v>
      </c>
      <c r="E105" s="201" t="s">
        <v>483</v>
      </c>
      <c r="F105" s="130"/>
      <c r="G105" s="126"/>
      <c r="J105" s="126"/>
      <c r="M105" s="126"/>
      <c r="T105" s="67"/>
      <c r="U105" s="13"/>
      <c r="V105" s="13"/>
      <c r="W105" s="12"/>
      <c r="Y105" s="16"/>
      <c r="Z105" s="13"/>
      <c r="AA105" s="13"/>
      <c r="AB105" s="12"/>
      <c r="AC105" s="1"/>
      <c r="AD105" s="16"/>
      <c r="AE105" s="13"/>
      <c r="AF105" s="13"/>
      <c r="AG105" s="22"/>
      <c r="AI105" s="62"/>
      <c r="AJ105" s="66"/>
      <c r="AK105" s="19"/>
      <c r="AL105" s="15"/>
      <c r="AM105" s="19"/>
      <c r="AN105" s="62">
        <f>AN104+(AO105-AO104)/$AN$18</f>
        <v>57.522985321064631</v>
      </c>
      <c r="AO105" s="7">
        <f>(D104+D105)/2</f>
        <v>27.822568376197644</v>
      </c>
      <c r="AP105" s="19" t="s">
        <v>483</v>
      </c>
      <c r="AQ105" s="51" t="s">
        <v>484</v>
      </c>
    </row>
    <row r="106" spans="1:43" ht="13.5">
      <c r="A106" s="191" t="s">
        <v>200</v>
      </c>
      <c r="B106" s="191">
        <f>2^14*13</f>
        <v>212992</v>
      </c>
      <c r="C106" s="191">
        <f>3^9*11</f>
        <v>216513</v>
      </c>
      <c r="D106" s="186">
        <f t="shared" si="30"/>
        <v>28.385288383932725</v>
      </c>
      <c r="E106" s="180" t="s">
        <v>201</v>
      </c>
      <c r="F106" s="192" t="s">
        <v>200</v>
      </c>
      <c r="G106" s="182"/>
      <c r="J106" s="126"/>
      <c r="M106" s="126"/>
      <c r="T106" s="67"/>
      <c r="U106" s="13"/>
      <c r="V106" s="13"/>
      <c r="W106" s="12"/>
      <c r="Y106" s="16"/>
      <c r="Z106" s="13"/>
      <c r="AA106" s="13"/>
      <c r="AB106" s="12"/>
      <c r="AC106" s="1"/>
      <c r="AD106" s="16"/>
      <c r="AE106" s="13"/>
      <c r="AF106" s="13"/>
      <c r="AG106" s="22"/>
      <c r="AI106" s="16">
        <f t="shared" si="34"/>
        <v>58</v>
      </c>
      <c r="AJ106" s="66">
        <f t="shared" si="26"/>
        <v>28.055312653727192</v>
      </c>
      <c r="AK106" s="19" t="str">
        <f t="shared" ref="AK106:AL109" si="35">AP106</f>
        <v>|)''</v>
      </c>
      <c r="AL106" s="15" t="str">
        <f t="shared" si="35"/>
        <v>!)..</v>
      </c>
      <c r="AM106" s="19"/>
      <c r="AN106" s="16">
        <f>AN104+1</f>
        <v>58</v>
      </c>
      <c r="AO106" s="7">
        <f>(AN106+AN104)/2*AN$18</f>
        <v>28.055312653727192</v>
      </c>
      <c r="AP106" s="19" t="s">
        <v>201</v>
      </c>
      <c r="AQ106" s="15" t="s">
        <v>202</v>
      </c>
    </row>
    <row r="107" spans="1:43" ht="13.5">
      <c r="A107" s="185" t="s">
        <v>485</v>
      </c>
      <c r="B107" s="185">
        <f>2^21</f>
        <v>2097152</v>
      </c>
      <c r="C107" s="185">
        <f>3^8*5^2*13</f>
        <v>2132325</v>
      </c>
      <c r="D107" s="186">
        <f t="shared" si="30"/>
        <v>28.795096422079567</v>
      </c>
      <c r="E107" s="183" t="s">
        <v>294</v>
      </c>
      <c r="F107" s="187" t="s">
        <v>485</v>
      </c>
      <c r="G107" s="184"/>
      <c r="J107" s="128"/>
      <c r="M107" s="128"/>
      <c r="T107" s="67"/>
      <c r="U107" s="13"/>
      <c r="V107" s="13"/>
      <c r="W107" s="12"/>
      <c r="Y107" s="16">
        <v>12</v>
      </c>
      <c r="Z107" s="13">
        <f>$AO107</f>
        <v>28.543231134661578</v>
      </c>
      <c r="AA107" s="19" t="s">
        <v>84</v>
      </c>
      <c r="AB107" s="15" t="s">
        <v>85</v>
      </c>
      <c r="AC107" s="1"/>
      <c r="AD107" s="16">
        <v>15</v>
      </c>
      <c r="AE107" s="13">
        <f>$AO107</f>
        <v>28.543231134661578</v>
      </c>
      <c r="AF107" s="4" t="s">
        <v>62</v>
      </c>
      <c r="AG107" s="15" t="s">
        <v>63</v>
      </c>
      <c r="AI107" s="16">
        <f t="shared" si="34"/>
        <v>59</v>
      </c>
      <c r="AJ107" s="66">
        <f t="shared" si="26"/>
        <v>28.543231134661578</v>
      </c>
      <c r="AK107" s="19" t="str">
        <f t="shared" si="35"/>
        <v>'|).</v>
      </c>
      <c r="AL107" s="15" t="str">
        <f t="shared" si="35"/>
        <v>.!)'</v>
      </c>
      <c r="AM107" s="19"/>
      <c r="AN107" s="16">
        <f>AN106+1</f>
        <v>59</v>
      </c>
      <c r="AO107" s="7">
        <f>(AN107+AN106)/2*AN$18</f>
        <v>28.543231134661578</v>
      </c>
      <c r="AP107" s="58" t="s">
        <v>294</v>
      </c>
      <c r="AQ107" s="68" t="s">
        <v>295</v>
      </c>
    </row>
    <row r="108" spans="1:43" ht="13.5">
      <c r="A108" s="147" t="s">
        <v>104</v>
      </c>
      <c r="B108" s="147">
        <f>2^9*7</f>
        <v>3584</v>
      </c>
      <c r="C108" s="147">
        <f>3^6*5</f>
        <v>3645</v>
      </c>
      <c r="D108" s="148">
        <f t="shared" si="30"/>
        <v>29.217812588034239</v>
      </c>
      <c r="E108" s="151" t="s">
        <v>62</v>
      </c>
      <c r="F108" s="174" t="s">
        <v>104</v>
      </c>
      <c r="G108" s="177"/>
      <c r="H108" s="174" t="s">
        <v>104</v>
      </c>
      <c r="I108" s="176"/>
      <c r="J108" s="177"/>
      <c r="M108" s="127"/>
      <c r="T108" s="67"/>
      <c r="U108" s="13"/>
      <c r="V108" s="13"/>
      <c r="W108" s="12"/>
      <c r="Y108" s="16"/>
      <c r="Z108" s="13"/>
      <c r="AA108" s="13"/>
      <c r="AB108" s="12"/>
      <c r="AC108" s="1"/>
      <c r="AD108" s="16"/>
      <c r="AE108" s="13"/>
      <c r="AF108" s="13"/>
      <c r="AG108" s="22"/>
      <c r="AI108" s="16">
        <f t="shared" si="34"/>
        <v>60</v>
      </c>
      <c r="AJ108" s="66">
        <f t="shared" si="26"/>
        <v>29.031149615595965</v>
      </c>
      <c r="AK108" s="19" t="str">
        <f t="shared" si="35"/>
        <v>'|)</v>
      </c>
      <c r="AL108" s="15" t="str">
        <f t="shared" si="35"/>
        <v>.!)</v>
      </c>
      <c r="AM108" s="19"/>
      <c r="AN108" s="16">
        <f>AN107+1</f>
        <v>60</v>
      </c>
      <c r="AO108" s="7">
        <f>(AN108+AN107)/2*AN$18</f>
        <v>29.031149615595965</v>
      </c>
      <c r="AP108" s="4" t="s">
        <v>62</v>
      </c>
      <c r="AQ108" s="15" t="s">
        <v>63</v>
      </c>
    </row>
    <row r="109" spans="1:43" ht="13.5">
      <c r="A109" s="191" t="s">
        <v>366</v>
      </c>
      <c r="B109" s="191">
        <f>2^10*3</f>
        <v>3072</v>
      </c>
      <c r="C109" s="191">
        <f>5^5</f>
        <v>3125</v>
      </c>
      <c r="D109" s="186">
        <f t="shared" si="30"/>
        <v>29.613568458786798</v>
      </c>
      <c r="E109" s="183" t="s">
        <v>364</v>
      </c>
      <c r="F109" s="192" t="s">
        <v>366</v>
      </c>
      <c r="G109" s="184"/>
      <c r="J109" s="127"/>
      <c r="M109" s="127"/>
      <c r="T109" s="67"/>
      <c r="U109" s="13"/>
      <c r="V109" s="13"/>
      <c r="W109" s="12"/>
      <c r="Y109" s="16"/>
      <c r="Z109" s="13"/>
      <c r="AA109" s="13"/>
      <c r="AB109" s="12"/>
      <c r="AC109" s="1"/>
      <c r="AD109" s="16"/>
      <c r="AE109" s="13"/>
      <c r="AF109" s="13"/>
      <c r="AG109" s="22"/>
      <c r="AI109" s="16">
        <f t="shared" si="34"/>
        <v>61</v>
      </c>
      <c r="AJ109" s="66">
        <f t="shared" si="26"/>
        <v>29.519068096530351</v>
      </c>
      <c r="AK109" s="19" t="str">
        <f t="shared" si="35"/>
        <v>'|)'</v>
      </c>
      <c r="AL109" s="15" t="str">
        <f t="shared" si="35"/>
        <v>.!).</v>
      </c>
      <c r="AM109" s="19"/>
      <c r="AN109" s="16">
        <f>AN108+1</f>
        <v>61</v>
      </c>
      <c r="AO109" s="7">
        <f>(AN109+AN108)/2*AN$18</f>
        <v>29.519068096530351</v>
      </c>
      <c r="AP109" s="4" t="s">
        <v>364</v>
      </c>
      <c r="AQ109" s="15" t="s">
        <v>365</v>
      </c>
    </row>
    <row r="110" spans="1:43" ht="13.5">
      <c r="A110" s="199" t="s">
        <v>488</v>
      </c>
      <c r="B110" s="199">
        <f>2^14*5</f>
        <v>81920</v>
      </c>
      <c r="C110" s="199">
        <f>3^5*7^3</f>
        <v>83349</v>
      </c>
      <c r="D110" s="200">
        <f t="shared" si="30"/>
        <v>29.939009869476987</v>
      </c>
      <c r="E110" s="201" t="s">
        <v>486</v>
      </c>
      <c r="F110" s="133"/>
      <c r="G110" s="126"/>
      <c r="J110" s="126"/>
      <c r="M110" s="126"/>
      <c r="T110" s="67"/>
      <c r="U110" s="13"/>
      <c r="V110" s="13"/>
      <c r="W110" s="12"/>
      <c r="Y110" s="16"/>
      <c r="Z110" s="13"/>
      <c r="AA110" s="13"/>
      <c r="AB110" s="12"/>
      <c r="AC110" s="1"/>
      <c r="AD110" s="16"/>
      <c r="AE110" s="13"/>
      <c r="AF110" s="13"/>
      <c r="AG110" s="22"/>
      <c r="AI110" s="62"/>
      <c r="AJ110" s="66"/>
      <c r="AK110" s="19"/>
      <c r="AL110" s="15"/>
      <c r="AM110" s="19"/>
      <c r="AN110" s="62">
        <f>AN109+(AO110-AO109)/$AN$18</f>
        <v>61.527180415689422</v>
      </c>
      <c r="AO110" s="7">
        <f>(D109+D110)/2</f>
        <v>29.776289164131892</v>
      </c>
      <c r="AP110" s="19" t="s">
        <v>486</v>
      </c>
      <c r="AQ110" s="15" t="s">
        <v>487</v>
      </c>
    </row>
    <row r="111" spans="1:43" ht="13.5">
      <c r="A111" s="185" t="s">
        <v>372</v>
      </c>
      <c r="B111" s="185">
        <f>3^5*11</f>
        <v>2673</v>
      </c>
      <c r="C111" s="185">
        <f>2^5*5*17</f>
        <v>2720</v>
      </c>
      <c r="D111" s="186">
        <f t="shared" si="30"/>
        <v>30.176176673548365</v>
      </c>
      <c r="E111" s="180" t="s">
        <v>380</v>
      </c>
      <c r="F111" s="187" t="s">
        <v>372</v>
      </c>
      <c r="G111" s="182"/>
      <c r="J111" s="126"/>
      <c r="M111" s="126"/>
      <c r="T111" s="67">
        <v>6</v>
      </c>
      <c r="U111" s="13">
        <f>$AO111</f>
        <v>30.006986577464737</v>
      </c>
      <c r="V111" s="19" t="str">
        <f>IF($N$6&gt;6,"(|","|\")</f>
        <v>(|</v>
      </c>
      <c r="W111" s="19" t="str">
        <f>IF($N$6&gt;6,"(!","!/")</f>
        <v>(!</v>
      </c>
      <c r="Y111" s="16"/>
      <c r="Z111" s="13"/>
      <c r="AA111" s="13"/>
      <c r="AB111" s="12"/>
      <c r="AC111" s="1"/>
      <c r="AD111" s="67">
        <v>16</v>
      </c>
      <c r="AE111" s="13">
        <f>$AO111</f>
        <v>30.006986577464737</v>
      </c>
      <c r="AF111" s="19" t="s">
        <v>84</v>
      </c>
      <c r="AG111" s="15" t="s">
        <v>85</v>
      </c>
      <c r="AI111" s="16">
        <f t="shared" si="34"/>
        <v>62</v>
      </c>
      <c r="AJ111" s="66">
        <f t="shared" si="26"/>
        <v>30.006986577464737</v>
      </c>
      <c r="AK111" s="19" t="str">
        <f t="shared" ref="AK111:AL113" si="36">AP111</f>
        <v>)|).</v>
      </c>
      <c r="AL111" s="15" t="str">
        <f t="shared" si="36"/>
        <v>)!)'</v>
      </c>
      <c r="AM111" s="19"/>
      <c r="AN111" s="16">
        <f>AN109+1</f>
        <v>62</v>
      </c>
      <c r="AO111" s="7">
        <f>(AN111+AN109)/2*AN$18</f>
        <v>30.006986577464737</v>
      </c>
      <c r="AP111" s="19" t="s">
        <v>380</v>
      </c>
      <c r="AQ111" s="15" t="s">
        <v>296</v>
      </c>
    </row>
    <row r="112" spans="1:43" ht="13.5">
      <c r="A112" s="141" t="s">
        <v>150</v>
      </c>
      <c r="B112" s="141">
        <f>2^3*7</f>
        <v>56</v>
      </c>
      <c r="C112" s="142">
        <f>3*19</f>
        <v>57</v>
      </c>
      <c r="D112" s="143">
        <f t="shared" si="30"/>
        <v>30.642110528564977</v>
      </c>
      <c r="E112" s="144" t="s">
        <v>84</v>
      </c>
      <c r="F112" s="170" t="s">
        <v>150</v>
      </c>
      <c r="G112" s="171"/>
      <c r="H112" s="170" t="s">
        <v>150</v>
      </c>
      <c r="I112" s="172"/>
      <c r="J112" s="171"/>
      <c r="K112" s="170" t="s">
        <v>150</v>
      </c>
      <c r="L112" s="172"/>
      <c r="M112" s="171"/>
      <c r="T112" s="67"/>
      <c r="U112" s="13"/>
      <c r="V112" s="13"/>
      <c r="W112" s="12"/>
      <c r="Y112" s="16"/>
      <c r="Z112" s="13"/>
      <c r="AA112" s="13"/>
      <c r="AB112" s="12"/>
      <c r="AC112" s="1"/>
      <c r="AD112" s="16"/>
      <c r="AE112" s="13"/>
      <c r="AF112" s="13"/>
      <c r="AG112" s="22"/>
      <c r="AI112" s="16">
        <f t="shared" si="34"/>
        <v>63</v>
      </c>
      <c r="AJ112" s="66">
        <f t="shared" si="26"/>
        <v>30.494905058399123</v>
      </c>
      <c r="AK112" s="19" t="str">
        <f t="shared" si="36"/>
        <v>)|)</v>
      </c>
      <c r="AL112" s="15" t="str">
        <f t="shared" si="36"/>
        <v>)!)</v>
      </c>
      <c r="AM112" s="19"/>
      <c r="AN112" s="16">
        <f t="shared" ref="AN112:AN119" si="37">AN111+1</f>
        <v>63</v>
      </c>
      <c r="AO112" s="7">
        <f>(AN112+AN111)/2*AN$18</f>
        <v>30.494905058399123</v>
      </c>
      <c r="AP112" s="19" t="s">
        <v>84</v>
      </c>
      <c r="AQ112" s="15" t="s">
        <v>85</v>
      </c>
    </row>
    <row r="113" spans="1:43" ht="13.5">
      <c r="A113" s="147" t="s">
        <v>139</v>
      </c>
      <c r="B113" s="147">
        <f>5*11</f>
        <v>55</v>
      </c>
      <c r="C113" s="147">
        <f>2^3*7</f>
        <v>56</v>
      </c>
      <c r="D113" s="148">
        <f t="shared" si="30"/>
        <v>31.194250239533226</v>
      </c>
      <c r="E113" s="149" t="s">
        <v>489</v>
      </c>
      <c r="F113" s="174" t="s">
        <v>139</v>
      </c>
      <c r="G113" s="175"/>
      <c r="H113" s="174" t="s">
        <v>139</v>
      </c>
      <c r="I113" s="176"/>
      <c r="J113" s="175"/>
      <c r="M113" s="126"/>
      <c r="T113" s="67"/>
      <c r="U113" s="13"/>
      <c r="V113" s="13"/>
      <c r="W113" s="12"/>
      <c r="Y113" s="16">
        <v>13</v>
      </c>
      <c r="Z113" s="13">
        <f>$AO113</f>
        <v>30.982823539333509</v>
      </c>
      <c r="AA113" s="19" t="s">
        <v>36</v>
      </c>
      <c r="AB113" s="15" t="s">
        <v>37</v>
      </c>
      <c r="AC113" s="1"/>
      <c r="AD113" s="67">
        <v>16.399999999999999</v>
      </c>
      <c r="AE113" s="13">
        <f>$AO113</f>
        <v>30.982823539333509</v>
      </c>
      <c r="AF113" s="19" t="s">
        <v>489</v>
      </c>
      <c r="AG113" s="51" t="s">
        <v>490</v>
      </c>
      <c r="AI113" s="16">
        <f t="shared" si="34"/>
        <v>64</v>
      </c>
      <c r="AJ113" s="66">
        <f t="shared" si="26"/>
        <v>30.982823539333509</v>
      </c>
      <c r="AK113" s="19" t="str">
        <f t="shared" si="36"/>
        <v>.(|</v>
      </c>
      <c r="AL113" s="15" t="str">
        <f t="shared" si="36"/>
        <v>'(!</v>
      </c>
      <c r="AM113" s="19"/>
      <c r="AN113" s="16">
        <f t="shared" si="37"/>
        <v>64</v>
      </c>
      <c r="AO113" s="7">
        <f>(AN113+AN112)/2*AN$18</f>
        <v>30.982823539333509</v>
      </c>
      <c r="AP113" s="19" t="s">
        <v>489</v>
      </c>
      <c r="AQ113" s="51" t="s">
        <v>490</v>
      </c>
    </row>
    <row r="114" spans="1:43" ht="13.5">
      <c r="A114" s="199" t="s">
        <v>492</v>
      </c>
      <c r="B114" s="208">
        <f>2^25</f>
        <v>33554432</v>
      </c>
      <c r="C114" s="208">
        <f>3^7*5^6</f>
        <v>34171875</v>
      </c>
      <c r="D114" s="200">
        <f t="shared" si="30"/>
        <v>31.567289246720829</v>
      </c>
      <c r="E114" s="201" t="s">
        <v>491</v>
      </c>
      <c r="F114" s="133"/>
      <c r="G114" s="129"/>
      <c r="J114" s="129"/>
      <c r="M114" s="129"/>
      <c r="T114" s="67"/>
      <c r="U114" s="13"/>
      <c r="V114" s="13"/>
      <c r="W114" s="12"/>
      <c r="Y114" s="16"/>
      <c r="Z114" s="13"/>
      <c r="AA114" s="13"/>
      <c r="AB114" s="12"/>
      <c r="AC114" s="1"/>
      <c r="AD114" s="67">
        <v>16.600000000000001</v>
      </c>
      <c r="AE114" s="13">
        <f>$AO114</f>
        <v>31.470742020267892</v>
      </c>
      <c r="AF114" s="19" t="s">
        <v>36</v>
      </c>
      <c r="AG114" s="15" t="s">
        <v>37</v>
      </c>
      <c r="AI114" s="16">
        <f t="shared" si="34"/>
        <v>65</v>
      </c>
      <c r="AJ114" s="66">
        <f t="shared" si="26"/>
        <v>31.470742020267892</v>
      </c>
      <c r="AK114" s="19" t="str">
        <f>AP115</f>
        <v>|\</v>
      </c>
      <c r="AL114" s="15" t="str">
        <f>AQ115</f>
        <v>!/</v>
      </c>
      <c r="AM114" s="19"/>
      <c r="AN114" s="16">
        <f t="shared" si="37"/>
        <v>65</v>
      </c>
      <c r="AO114" s="7">
        <f>(AN114+AN113)/2*AN$18</f>
        <v>31.470742020267892</v>
      </c>
      <c r="AP114" s="57" t="s">
        <v>491</v>
      </c>
      <c r="AQ114" s="70" t="s">
        <v>583</v>
      </c>
    </row>
    <row r="115" spans="1:43" ht="13.5">
      <c r="A115" s="141" t="s">
        <v>105</v>
      </c>
      <c r="B115" s="141">
        <f>2*3^3</f>
        <v>54</v>
      </c>
      <c r="C115" s="141">
        <f>5*11</f>
        <v>55</v>
      </c>
      <c r="D115" s="143">
        <f t="shared" si="30"/>
        <v>31.766653633429414</v>
      </c>
      <c r="E115" s="144" t="s">
        <v>36</v>
      </c>
      <c r="F115" s="170" t="s">
        <v>105</v>
      </c>
      <c r="G115" s="171"/>
      <c r="H115" s="170" t="s">
        <v>105</v>
      </c>
      <c r="I115" s="172"/>
      <c r="J115" s="171"/>
      <c r="K115" s="170" t="s">
        <v>105</v>
      </c>
      <c r="L115" s="172"/>
      <c r="M115" s="171"/>
      <c r="T115" s="67"/>
      <c r="U115" s="13"/>
      <c r="V115" s="13"/>
      <c r="W115" s="12"/>
      <c r="Y115" s="16"/>
      <c r="Z115" s="13"/>
      <c r="AA115" s="13"/>
      <c r="AB115" s="12"/>
      <c r="AC115" s="1"/>
      <c r="AD115" s="16"/>
      <c r="AE115" s="13"/>
      <c r="AF115" s="13"/>
      <c r="AG115" s="22"/>
      <c r="AI115" s="62"/>
      <c r="AJ115" s="66"/>
      <c r="AK115" s="19"/>
      <c r="AL115" s="15"/>
      <c r="AM115" s="19"/>
      <c r="AN115" s="62">
        <f>AN114+(AO115-AO114)/$AN$18</f>
        <v>65.402176649327657</v>
      </c>
      <c r="AO115" s="7">
        <f>(D114+D115)/2</f>
        <v>31.666971440075123</v>
      </c>
      <c r="AP115" s="19" t="s">
        <v>36</v>
      </c>
      <c r="AQ115" s="15" t="s">
        <v>37</v>
      </c>
    </row>
    <row r="116" spans="1:43" ht="13.5">
      <c r="A116" s="185" t="s">
        <v>493</v>
      </c>
      <c r="B116" s="185">
        <f>3^5*7*13</f>
        <v>22113</v>
      </c>
      <c r="C116" s="185">
        <f>2^11*11</f>
        <v>22528</v>
      </c>
      <c r="D116" s="186">
        <f t="shared" ref="D116:D147" si="38">1200*LN($C116/$B116)/LN(2)</f>
        <v>32.189369799384167</v>
      </c>
      <c r="E116" s="180" t="s">
        <v>297</v>
      </c>
      <c r="F116" s="187" t="s">
        <v>493</v>
      </c>
      <c r="G116" s="182"/>
      <c r="J116" s="126"/>
      <c r="M116" s="126"/>
      <c r="T116" s="67"/>
      <c r="U116" s="13"/>
      <c r="V116" s="13"/>
      <c r="W116" s="12"/>
      <c r="Y116" s="16"/>
      <c r="Z116" s="13"/>
      <c r="AA116" s="13"/>
      <c r="AB116" s="12"/>
      <c r="AC116" s="1"/>
      <c r="AD116" s="16"/>
      <c r="AE116" s="13"/>
      <c r="AF116" s="13"/>
      <c r="AG116" s="22"/>
      <c r="AI116" s="16">
        <f t="shared" si="34"/>
        <v>66</v>
      </c>
      <c r="AJ116" s="66">
        <f t="shared" si="26"/>
        <v>31.958660501202278</v>
      </c>
      <c r="AK116" s="19" t="str">
        <f>AP116</f>
        <v>|\'</v>
      </c>
      <c r="AL116" s="15" t="str">
        <f>AQ116</f>
        <v>!/.</v>
      </c>
      <c r="AM116" s="19"/>
      <c r="AN116" s="16">
        <f>AN114+1</f>
        <v>66</v>
      </c>
      <c r="AO116" s="7">
        <f>(AN116+AN114)/2*AN$18</f>
        <v>31.958660501202278</v>
      </c>
      <c r="AP116" s="19" t="s">
        <v>297</v>
      </c>
      <c r="AQ116" s="15" t="s">
        <v>298</v>
      </c>
    </row>
    <row r="117" spans="1:43" ht="13.5">
      <c r="A117" s="203" t="s">
        <v>496</v>
      </c>
      <c r="B117" s="203">
        <f>53</f>
        <v>53</v>
      </c>
      <c r="C117" s="203">
        <f>2*3^3</f>
        <v>54</v>
      </c>
      <c r="D117" s="200">
        <f t="shared" si="38"/>
        <v>32.360457120323233</v>
      </c>
      <c r="E117" s="201" t="s">
        <v>494</v>
      </c>
      <c r="F117" s="134"/>
      <c r="G117" s="126"/>
      <c r="J117" s="126"/>
      <c r="M117" s="126"/>
      <c r="T117" s="67"/>
      <c r="U117" s="13"/>
      <c r="V117" s="13"/>
      <c r="W117" s="12"/>
      <c r="Y117" s="16"/>
      <c r="Z117" s="13"/>
      <c r="AA117" s="13"/>
      <c r="AB117" s="12"/>
      <c r="AC117" s="1"/>
      <c r="AD117" s="16"/>
      <c r="AE117" s="13"/>
      <c r="AF117" s="13"/>
      <c r="AG117" s="22"/>
      <c r="AI117" s="62"/>
      <c r="AJ117" s="66"/>
      <c r="AK117" s="19"/>
      <c r="AL117" s="15"/>
      <c r="AM117" s="19"/>
      <c r="AN117" s="62">
        <f>AN116+(AO117-AO116)/$AN$18</f>
        <v>66.648167616126742</v>
      </c>
      <c r="AO117" s="7">
        <f>(D116+D117)/2</f>
        <v>32.2749134598537</v>
      </c>
      <c r="AP117" s="19" t="s">
        <v>494</v>
      </c>
      <c r="AQ117" s="15" t="s">
        <v>495</v>
      </c>
    </row>
    <row r="118" spans="1:43" ht="13.5">
      <c r="A118" s="185" t="s">
        <v>497</v>
      </c>
      <c r="B118" s="185">
        <f>2^4*23</f>
        <v>368</v>
      </c>
      <c r="C118" s="185">
        <f>3*5^3</f>
        <v>375</v>
      </c>
      <c r="D118" s="186">
        <f t="shared" si="38"/>
        <v>32.621795191476473</v>
      </c>
      <c r="E118" s="180" t="s">
        <v>299</v>
      </c>
      <c r="F118" s="187" t="s">
        <v>497</v>
      </c>
      <c r="G118" s="182"/>
      <c r="J118" s="126"/>
      <c r="M118" s="126"/>
      <c r="T118" s="67"/>
      <c r="U118" s="13"/>
      <c r="V118" s="13"/>
      <c r="W118" s="12"/>
      <c r="Y118" s="16">
        <v>14</v>
      </c>
      <c r="Z118" s="13">
        <f>$AO118</f>
        <v>32.446578982136664</v>
      </c>
      <c r="AA118" s="19" t="s">
        <v>32</v>
      </c>
      <c r="AB118" s="15" t="s">
        <v>33</v>
      </c>
      <c r="AC118" s="1"/>
      <c r="AD118" s="16">
        <v>17</v>
      </c>
      <c r="AE118" s="13">
        <f>$AO118</f>
        <v>32.446578982136664</v>
      </c>
      <c r="AF118" s="19" t="s">
        <v>32</v>
      </c>
      <c r="AG118" s="15" t="s">
        <v>33</v>
      </c>
      <c r="AI118" s="16">
        <f t="shared" si="34"/>
        <v>67</v>
      </c>
      <c r="AJ118" s="66">
        <f t="shared" si="26"/>
        <v>32.446578982136664</v>
      </c>
      <c r="AK118" s="19" t="str">
        <f>AP118</f>
        <v>(|.</v>
      </c>
      <c r="AL118" s="15" t="str">
        <f>AQ118</f>
        <v>(!'</v>
      </c>
      <c r="AM118" s="19"/>
      <c r="AN118" s="16">
        <f>AN116+1</f>
        <v>67</v>
      </c>
      <c r="AO118" s="7">
        <f>(AN118+AN116)/2*AN$18</f>
        <v>32.446578982136664</v>
      </c>
      <c r="AP118" s="19" t="s">
        <v>299</v>
      </c>
      <c r="AQ118" s="15" t="s">
        <v>300</v>
      </c>
    </row>
    <row r="119" spans="1:43" ht="13.5">
      <c r="A119" s="135" t="s">
        <v>106</v>
      </c>
      <c r="B119" s="135">
        <f>2^12*11</f>
        <v>45056</v>
      </c>
      <c r="C119" s="140">
        <f>3^8*7</f>
        <v>45927</v>
      </c>
      <c r="D119" s="136">
        <f t="shared" si="38"/>
        <v>33.147971027467491</v>
      </c>
      <c r="E119" s="139" t="s">
        <v>32</v>
      </c>
      <c r="F119" s="163" t="s">
        <v>106</v>
      </c>
      <c r="G119" s="167"/>
      <c r="H119" s="163" t="s">
        <v>106</v>
      </c>
      <c r="I119" s="165"/>
      <c r="J119" s="167"/>
      <c r="K119" s="163" t="s">
        <v>106</v>
      </c>
      <c r="L119" s="165"/>
      <c r="M119" s="167"/>
      <c r="N119" s="163" t="s">
        <v>106</v>
      </c>
      <c r="O119" s="165"/>
      <c r="T119" s="67"/>
      <c r="U119" s="13"/>
      <c r="V119" s="13"/>
      <c r="W119" s="12"/>
      <c r="Y119" s="16"/>
      <c r="Z119" s="13"/>
      <c r="AA119" s="13"/>
      <c r="AB119" s="12"/>
      <c r="AC119" s="1"/>
      <c r="AD119" s="16"/>
      <c r="AE119" s="13"/>
      <c r="AF119" s="13"/>
      <c r="AG119" s="22"/>
      <c r="AI119" s="16">
        <f t="shared" si="34"/>
        <v>68</v>
      </c>
      <c r="AJ119" s="66">
        <f t="shared" si="26"/>
        <v>32.934497463071054</v>
      </c>
      <c r="AK119" s="19" t="str">
        <f>AP119</f>
        <v>(|</v>
      </c>
      <c r="AL119" s="15" t="str">
        <f>AQ119</f>
        <v>(!</v>
      </c>
      <c r="AM119" s="19"/>
      <c r="AN119" s="16">
        <f t="shared" si="37"/>
        <v>68</v>
      </c>
      <c r="AO119" s="7">
        <f>(AN119+AN118)/2*AN$18</f>
        <v>32.934497463071054</v>
      </c>
      <c r="AP119" s="19" t="s">
        <v>32</v>
      </c>
      <c r="AQ119" s="15" t="s">
        <v>33</v>
      </c>
    </row>
    <row r="120" spans="1:43" ht="13.5">
      <c r="A120" s="199" t="s">
        <v>500</v>
      </c>
      <c r="B120" s="199">
        <f>3^2*5^5</f>
        <v>28125</v>
      </c>
      <c r="C120" s="199">
        <f>2^12*7</f>
        <v>28672</v>
      </c>
      <c r="D120" s="200">
        <f t="shared" si="38"/>
        <v>33.347335414175944</v>
      </c>
      <c r="E120" s="202" t="s">
        <v>498</v>
      </c>
      <c r="F120" s="130"/>
      <c r="G120" s="127"/>
      <c r="J120" s="127"/>
      <c r="M120" s="127"/>
      <c r="T120" s="67"/>
      <c r="U120" s="13"/>
      <c r="V120" s="13"/>
      <c r="W120" s="12"/>
      <c r="Y120" s="16"/>
      <c r="Z120" s="13"/>
      <c r="AA120" s="13"/>
      <c r="AB120" s="12"/>
      <c r="AC120" s="1"/>
      <c r="AD120" s="16"/>
      <c r="AE120" s="13"/>
      <c r="AF120" s="13"/>
      <c r="AG120" s="22"/>
      <c r="AI120" s="62"/>
      <c r="AJ120" s="66"/>
      <c r="AK120" s="19"/>
      <c r="AL120" s="15"/>
      <c r="AM120" s="19"/>
      <c r="AN120" s="62">
        <f>AN119+(AO120-AO119)/$AN$18</f>
        <v>68.641819832589562</v>
      </c>
      <c r="AO120" s="7">
        <f>(D119+D120)/2</f>
        <v>33.247653220821718</v>
      </c>
      <c r="AP120" s="4" t="s">
        <v>498</v>
      </c>
      <c r="AQ120" s="15" t="s">
        <v>499</v>
      </c>
    </row>
    <row r="121" spans="1:43" ht="13.5">
      <c r="A121" s="178" t="s">
        <v>153</v>
      </c>
      <c r="B121" s="189">
        <f>3*17</f>
        <v>51</v>
      </c>
      <c r="C121" s="178">
        <f>2^2*13</f>
        <v>52</v>
      </c>
      <c r="D121" s="179">
        <f t="shared" si="38"/>
        <v>33.617251403515773</v>
      </c>
      <c r="E121" s="180" t="s">
        <v>151</v>
      </c>
      <c r="F121" s="181" t="s">
        <v>153</v>
      </c>
      <c r="G121" s="182"/>
      <c r="J121" s="126"/>
      <c r="M121" s="126"/>
      <c r="T121" s="67"/>
      <c r="U121" s="13"/>
      <c r="V121" s="13"/>
      <c r="W121" s="12"/>
      <c r="Y121" s="16"/>
      <c r="Z121" s="13"/>
      <c r="AA121" s="13"/>
      <c r="AB121" s="12"/>
      <c r="AC121" s="1"/>
      <c r="AD121" s="16"/>
      <c r="AE121" s="13"/>
      <c r="AF121" s="13"/>
      <c r="AG121" s="22"/>
      <c r="AI121" s="16">
        <f t="shared" si="34"/>
        <v>69</v>
      </c>
      <c r="AJ121" s="66">
        <f t="shared" si="26"/>
        <v>33.422415944005436</v>
      </c>
      <c r="AK121" s="19" t="str">
        <f>AP121</f>
        <v>(|'</v>
      </c>
      <c r="AL121" s="15" t="str">
        <f>AQ121</f>
        <v>(!.</v>
      </c>
      <c r="AM121" s="19"/>
      <c r="AN121" s="16">
        <f>AN119+1</f>
        <v>69</v>
      </c>
      <c r="AO121" s="7">
        <f>(AN121+AN119)/2*AN$18</f>
        <v>33.422415944005436</v>
      </c>
      <c r="AP121" s="19" t="s">
        <v>151</v>
      </c>
      <c r="AQ121" s="15" t="s">
        <v>152</v>
      </c>
    </row>
    <row r="122" spans="1:43" ht="13.5">
      <c r="A122" s="199" t="s">
        <v>503</v>
      </c>
      <c r="B122" s="199">
        <f>3^9*5</f>
        <v>98415</v>
      </c>
      <c r="C122" s="209">
        <f>2^11*7^2</f>
        <v>100352</v>
      </c>
      <c r="D122" s="200">
        <f t="shared" si="38"/>
        <v>33.743091284928141</v>
      </c>
      <c r="E122" s="201" t="s">
        <v>501</v>
      </c>
      <c r="F122" s="130"/>
      <c r="G122" s="129"/>
      <c r="J122" s="129"/>
      <c r="M122" s="129"/>
      <c r="T122" s="67"/>
      <c r="U122" s="13"/>
      <c r="V122" s="13"/>
      <c r="W122" s="12"/>
      <c r="Y122" s="16"/>
      <c r="Z122" s="13"/>
      <c r="AA122" s="13"/>
      <c r="AB122" s="12"/>
      <c r="AC122" s="1"/>
      <c r="AD122" s="16"/>
      <c r="AE122" s="13"/>
      <c r="AF122" s="13"/>
      <c r="AG122" s="22"/>
      <c r="AI122" s="62"/>
      <c r="AJ122" s="66"/>
      <c r="AK122" s="19"/>
      <c r="AL122" s="15"/>
      <c r="AM122" s="19"/>
      <c r="AN122" s="62">
        <f>AN121+(AO122-AO121)/$AN$18</f>
        <v>69.528275542510528</v>
      </c>
      <c r="AO122" s="7">
        <f>(D121+D122)/2</f>
        <v>33.680171344221961</v>
      </c>
      <c r="AP122" s="57" t="s">
        <v>501</v>
      </c>
      <c r="AQ122" s="70" t="s">
        <v>502</v>
      </c>
    </row>
    <row r="123" spans="1:43" ht="13.5">
      <c r="A123" s="191" t="s">
        <v>214</v>
      </c>
      <c r="B123" s="191">
        <f>2*5^2</f>
        <v>50</v>
      </c>
      <c r="C123" s="191">
        <f>3*17</f>
        <v>51</v>
      </c>
      <c r="D123" s="186">
        <f t="shared" si="38"/>
        <v>34.282982636125098</v>
      </c>
      <c r="E123" s="180" t="s">
        <v>217</v>
      </c>
      <c r="F123" s="192" t="s">
        <v>214</v>
      </c>
      <c r="G123" s="182"/>
      <c r="J123" s="126"/>
      <c r="M123" s="126"/>
      <c r="T123" s="67"/>
      <c r="U123" s="13"/>
      <c r="V123" s="13"/>
      <c r="W123" s="12"/>
      <c r="Y123" s="16"/>
      <c r="Z123" s="13"/>
      <c r="AA123" s="13"/>
      <c r="AB123" s="12"/>
      <c r="AC123" s="1"/>
      <c r="AD123" s="16"/>
      <c r="AE123" s="13"/>
      <c r="AF123" s="13"/>
      <c r="AG123" s="22"/>
      <c r="AI123" s="16">
        <f t="shared" ref="AI123:AI129" si="39">AN123</f>
        <v>70</v>
      </c>
      <c r="AJ123" s="66">
        <f t="shared" si="26"/>
        <v>33.910334424939826</v>
      </c>
      <c r="AK123" s="19" t="str">
        <f t="shared" ref="AK123:AL125" si="40">AP123</f>
        <v>(|''</v>
      </c>
      <c r="AL123" s="15" t="str">
        <f t="shared" si="40"/>
        <v>(!..</v>
      </c>
      <c r="AM123" s="19"/>
      <c r="AN123" s="16">
        <f>AN121+1</f>
        <v>70</v>
      </c>
      <c r="AO123" s="7">
        <f>(AN123+AN121)/2*AN$18</f>
        <v>33.910334424939826</v>
      </c>
      <c r="AP123" s="19" t="s">
        <v>217</v>
      </c>
      <c r="AQ123" s="15" t="s">
        <v>218</v>
      </c>
    </row>
    <row r="124" spans="1:43" ht="13.5">
      <c r="A124" s="185" t="s">
        <v>506</v>
      </c>
      <c r="B124" s="185">
        <f>13*19</f>
        <v>247</v>
      </c>
      <c r="C124" s="185">
        <f>2^2*3^2*7</f>
        <v>252</v>
      </c>
      <c r="D124" s="186">
        <f t="shared" si="38"/>
        <v>34.695230298286717</v>
      </c>
      <c r="E124" s="183" t="s">
        <v>504</v>
      </c>
      <c r="F124" s="187" t="s">
        <v>506</v>
      </c>
      <c r="G124" s="184"/>
      <c r="J124" s="128"/>
      <c r="M124" s="128"/>
      <c r="T124" s="67"/>
      <c r="U124" s="13"/>
      <c r="V124" s="13"/>
      <c r="W124" s="12"/>
      <c r="Y124" s="16">
        <v>15</v>
      </c>
      <c r="Z124" s="13">
        <f>$AO124</f>
        <v>34.398252905874209</v>
      </c>
      <c r="AA124" s="19" t="s">
        <v>34</v>
      </c>
      <c r="AB124" s="15" t="s">
        <v>35</v>
      </c>
      <c r="AC124" s="1"/>
      <c r="AD124" s="16">
        <v>18</v>
      </c>
      <c r="AE124" s="13">
        <f>$AO124</f>
        <v>34.398252905874209</v>
      </c>
      <c r="AF124" s="4" t="s">
        <v>507</v>
      </c>
      <c r="AG124" s="51" t="s">
        <v>508</v>
      </c>
      <c r="AI124" s="16">
        <f t="shared" si="39"/>
        <v>71</v>
      </c>
      <c r="AJ124" s="66">
        <f t="shared" si="26"/>
        <v>34.398252905874209</v>
      </c>
      <c r="AK124" s="19" t="str">
        <f t="shared" si="40"/>
        <v>'(|.</v>
      </c>
      <c r="AL124" s="15" t="str">
        <f t="shared" si="40"/>
        <v>.(!'</v>
      </c>
      <c r="AM124" s="19"/>
      <c r="AN124" s="16">
        <f>AN123+1</f>
        <v>71</v>
      </c>
      <c r="AO124" s="7">
        <f>(AN124+AN123)/2*AN$18</f>
        <v>34.398252905874209</v>
      </c>
      <c r="AP124" s="58" t="s">
        <v>504</v>
      </c>
      <c r="AQ124" s="68" t="s">
        <v>505</v>
      </c>
    </row>
    <row r="125" spans="1:43" ht="13.5">
      <c r="A125" s="147" t="s">
        <v>138</v>
      </c>
      <c r="B125" s="147">
        <f>7^2</f>
        <v>49</v>
      </c>
      <c r="C125" s="147">
        <f>2*5^2</f>
        <v>50</v>
      </c>
      <c r="D125" s="148">
        <f t="shared" si="38"/>
        <v>34.975614791419815</v>
      </c>
      <c r="E125" s="151" t="s">
        <v>507</v>
      </c>
      <c r="F125" s="174" t="s">
        <v>138</v>
      </c>
      <c r="G125" s="177"/>
      <c r="H125" s="174" t="s">
        <v>138</v>
      </c>
      <c r="I125" s="176"/>
      <c r="J125" s="177"/>
      <c r="M125" s="127"/>
      <c r="T125" s="67"/>
      <c r="U125" s="13"/>
      <c r="V125" s="13"/>
      <c r="W125" s="12"/>
      <c r="Y125" s="16"/>
      <c r="Z125" s="13"/>
      <c r="AA125" s="13"/>
      <c r="AB125" s="12"/>
      <c r="AC125" s="1"/>
      <c r="AD125" s="16"/>
      <c r="AE125" s="13"/>
      <c r="AF125" s="13"/>
      <c r="AG125" s="22"/>
      <c r="AI125" s="73">
        <f>AN125</f>
        <v>72</v>
      </c>
      <c r="AJ125" s="74">
        <f>AO125</f>
        <v>34.886171386808599</v>
      </c>
      <c r="AK125" s="19" t="str">
        <f t="shared" si="40"/>
        <v>'(|</v>
      </c>
      <c r="AL125" s="15" t="str">
        <f t="shared" si="40"/>
        <v>.(!</v>
      </c>
      <c r="AM125" s="19"/>
      <c r="AN125" s="16">
        <f>AN124+1</f>
        <v>72</v>
      </c>
      <c r="AO125" s="7">
        <f>(AN125+AN124)/2*AN$18</f>
        <v>34.886171386808599</v>
      </c>
      <c r="AP125" s="4" t="s">
        <v>507</v>
      </c>
      <c r="AQ125" s="51" t="s">
        <v>508</v>
      </c>
    </row>
    <row r="126" spans="1:43" ht="13.5">
      <c r="A126" s="191" t="s">
        <v>509</v>
      </c>
      <c r="B126" s="191">
        <f>3^5</f>
        <v>243</v>
      </c>
      <c r="C126" s="191">
        <f>2^3*31</f>
        <v>248</v>
      </c>
      <c r="D126" s="186">
        <f t="shared" si="38"/>
        <v>35.260568137313193</v>
      </c>
      <c r="E126" s="180" t="s">
        <v>301</v>
      </c>
      <c r="F126" s="192" t="s">
        <v>509</v>
      </c>
      <c r="G126" s="182"/>
      <c r="J126" s="126"/>
      <c r="M126" s="126"/>
      <c r="T126" s="67">
        <v>7</v>
      </c>
      <c r="U126" s="13">
        <f>$AO126</f>
        <v>35.118091464366501</v>
      </c>
      <c r="V126" s="19" t="str">
        <f>IF($N$6=7,"~|)","(|(")</f>
        <v>(|(</v>
      </c>
      <c r="W126" s="15" t="str">
        <f>IF($N$6=7,"~!)","(!(")</f>
        <v>(!(</v>
      </c>
      <c r="Y126" s="16"/>
      <c r="Z126" s="13"/>
      <c r="AA126" s="13"/>
      <c r="AB126" s="12"/>
      <c r="AC126" s="1"/>
      <c r="AD126" s="67">
        <v>18.399999999999999</v>
      </c>
      <c r="AE126" s="13">
        <f>$AO126</f>
        <v>35.118091464366501</v>
      </c>
      <c r="AF126" s="19" t="s">
        <v>34</v>
      </c>
      <c r="AG126" s="15" t="s">
        <v>35</v>
      </c>
      <c r="AI126" s="75">
        <f>AN126</f>
        <v>72.475325462388241</v>
      </c>
      <c r="AJ126" s="74">
        <f>AO126</f>
        <v>35.118091464366501</v>
      </c>
      <c r="AK126" s="19" t="str">
        <f>AP126</f>
        <v>~|).</v>
      </c>
      <c r="AL126" s="15" t="str">
        <f>AQ126</f>
        <v>~!)'</v>
      </c>
      <c r="AM126" s="19"/>
      <c r="AN126" s="62">
        <f>AN125+(AO126-AO125)/$AN$18</f>
        <v>72.475325462388241</v>
      </c>
      <c r="AO126" s="7">
        <f>(D125+D126)/2</f>
        <v>35.118091464366501</v>
      </c>
      <c r="AP126" s="19" t="s">
        <v>301</v>
      </c>
      <c r="AQ126" s="15" t="s">
        <v>302</v>
      </c>
    </row>
    <row r="127" spans="1:43" ht="13.5">
      <c r="A127" s="141" t="s">
        <v>107</v>
      </c>
      <c r="B127" s="141">
        <f>2^4*3</f>
        <v>48</v>
      </c>
      <c r="C127" s="141">
        <f>7^2</f>
        <v>49</v>
      </c>
      <c r="D127" s="143">
        <f t="shared" si="38"/>
        <v>35.696812072862322</v>
      </c>
      <c r="E127" s="144" t="s">
        <v>34</v>
      </c>
      <c r="F127" s="170" t="s">
        <v>107</v>
      </c>
      <c r="G127" s="171"/>
      <c r="H127" s="170" t="s">
        <v>107</v>
      </c>
      <c r="I127" s="172"/>
      <c r="J127" s="171"/>
      <c r="K127" s="170" t="s">
        <v>107</v>
      </c>
      <c r="L127" s="172"/>
      <c r="M127" s="171"/>
      <c r="T127" s="67"/>
      <c r="U127" s="13"/>
      <c r="V127" s="13"/>
      <c r="W127" s="12"/>
      <c r="Y127" s="16"/>
      <c r="Z127" s="13"/>
      <c r="AA127" s="13"/>
      <c r="AB127" s="12"/>
      <c r="AC127" s="1"/>
      <c r="AD127" s="16"/>
      <c r="AE127" s="13"/>
      <c r="AF127" s="13"/>
      <c r="AG127" s="22"/>
      <c r="AI127" s="16">
        <f t="shared" si="39"/>
        <v>73</v>
      </c>
      <c r="AJ127" s="66">
        <f t="shared" si="26"/>
        <v>35.374089867742981</v>
      </c>
      <c r="AK127" s="19" t="str">
        <f t="shared" ref="AK127:AL129" si="41">AP127</f>
        <v>~|)</v>
      </c>
      <c r="AL127" s="15" t="str">
        <f t="shared" si="41"/>
        <v>~!)</v>
      </c>
      <c r="AM127" s="19"/>
      <c r="AN127" s="16">
        <f>AN125+1</f>
        <v>73</v>
      </c>
      <c r="AO127" s="7">
        <f>(AN127+AN125)/2*AN$18</f>
        <v>35.374089867742981</v>
      </c>
      <c r="AP127" s="19" t="s">
        <v>34</v>
      </c>
      <c r="AQ127" s="15" t="s">
        <v>35</v>
      </c>
    </row>
    <row r="128" spans="1:43" ht="13.5">
      <c r="A128" s="191" t="s">
        <v>510</v>
      </c>
      <c r="B128" s="191">
        <f>2^16*5</f>
        <v>327680</v>
      </c>
      <c r="C128" s="191">
        <f>3^9*17</f>
        <v>334611</v>
      </c>
      <c r="D128" s="186">
        <f t="shared" si="38"/>
        <v>36.236703424059158</v>
      </c>
      <c r="E128" s="180" t="s">
        <v>303</v>
      </c>
      <c r="F128" s="192" t="s">
        <v>510</v>
      </c>
      <c r="G128" s="182"/>
      <c r="J128" s="126"/>
      <c r="M128" s="126"/>
      <c r="T128" s="67"/>
      <c r="U128" s="13"/>
      <c r="V128" s="13"/>
      <c r="W128" s="12"/>
      <c r="Y128" s="16"/>
      <c r="Z128" s="13"/>
      <c r="AA128" s="13"/>
      <c r="AB128" s="12"/>
      <c r="AC128" s="1"/>
      <c r="AD128" s="16"/>
      <c r="AE128" s="13"/>
      <c r="AF128" s="13"/>
      <c r="AG128" s="22"/>
      <c r="AI128" s="16">
        <f t="shared" si="39"/>
        <v>74</v>
      </c>
      <c r="AJ128" s="66">
        <f t="shared" si="26"/>
        <v>35.862008348677364</v>
      </c>
      <c r="AK128" s="19" t="str">
        <f t="shared" si="41"/>
        <v>~|)'</v>
      </c>
      <c r="AL128" s="15" t="str">
        <f t="shared" si="41"/>
        <v>~!).</v>
      </c>
      <c r="AM128" s="19"/>
      <c r="AN128" s="16">
        <f>AN127+1</f>
        <v>74</v>
      </c>
      <c r="AO128" s="7">
        <f>(AN128+AN127)/2*AN$18</f>
        <v>35.862008348677364</v>
      </c>
      <c r="AP128" s="19" t="s">
        <v>303</v>
      </c>
      <c r="AQ128" s="15" t="s">
        <v>304</v>
      </c>
    </row>
    <row r="129" spans="1:43" ht="13.5">
      <c r="A129" s="191" t="s">
        <v>513</v>
      </c>
      <c r="B129" s="191">
        <f>47</f>
        <v>47</v>
      </c>
      <c r="C129" s="191">
        <f>2^4*3</f>
        <v>48</v>
      </c>
      <c r="D129" s="186">
        <f t="shared" si="38"/>
        <v>36.448378852222433</v>
      </c>
      <c r="E129" s="180" t="s">
        <v>511</v>
      </c>
      <c r="F129" s="192" t="s">
        <v>513</v>
      </c>
      <c r="G129" s="182"/>
      <c r="J129" s="126"/>
      <c r="M129" s="126"/>
      <c r="T129" s="67"/>
      <c r="U129" s="13"/>
      <c r="V129" s="13"/>
      <c r="W129" s="12"/>
      <c r="Y129" s="16"/>
      <c r="Z129" s="13"/>
      <c r="AA129" s="13"/>
      <c r="AB129" s="12"/>
      <c r="AC129" s="1"/>
      <c r="AD129" s="16"/>
      <c r="AE129" s="13"/>
      <c r="AF129" s="13"/>
      <c r="AG129" s="22"/>
      <c r="AI129" s="73">
        <f t="shared" si="39"/>
        <v>75</v>
      </c>
      <c r="AJ129" s="74">
        <f t="shared" si="26"/>
        <v>36.349926829611753</v>
      </c>
      <c r="AK129" s="57" t="str">
        <f t="shared" si="41"/>
        <v>~|)''</v>
      </c>
      <c r="AL129" s="68" t="str">
        <f t="shared" si="41"/>
        <v>~!)..</v>
      </c>
      <c r="AM129" s="57"/>
      <c r="AN129" s="16">
        <f>AN128+1</f>
        <v>75</v>
      </c>
      <c r="AO129" s="7">
        <f>(AN129+AN128)/2*AN$18</f>
        <v>36.349926829611753</v>
      </c>
      <c r="AP129" s="19" t="s">
        <v>511</v>
      </c>
      <c r="AQ129" s="15" t="s">
        <v>512</v>
      </c>
    </row>
    <row r="130" spans="1:43" ht="13.5">
      <c r="A130" s="191" t="s">
        <v>205</v>
      </c>
      <c r="B130" s="191">
        <f>2^10*23</f>
        <v>23552</v>
      </c>
      <c r="C130" s="191">
        <f>3^7*11</f>
        <v>24057</v>
      </c>
      <c r="D130" s="186">
        <f t="shared" si="38"/>
        <v>36.728601154053287</v>
      </c>
      <c r="E130" s="180" t="s">
        <v>305</v>
      </c>
      <c r="F130" s="192" t="s">
        <v>205</v>
      </c>
      <c r="G130" s="182"/>
      <c r="J130" s="126"/>
      <c r="M130" s="126"/>
      <c r="T130" s="67"/>
      <c r="U130" s="13"/>
      <c r="V130" s="13"/>
      <c r="W130" s="12"/>
      <c r="Y130" s="16"/>
      <c r="Z130" s="13"/>
      <c r="AA130" s="13"/>
      <c r="AB130" s="12"/>
      <c r="AC130" s="1"/>
      <c r="AD130" s="16">
        <v>19</v>
      </c>
      <c r="AE130" s="13">
        <f>$AO130</f>
        <v>36.588490003137863</v>
      </c>
      <c r="AF130" s="19" t="s">
        <v>70</v>
      </c>
      <c r="AG130" s="51" t="s">
        <v>71</v>
      </c>
      <c r="AI130" s="75">
        <f>AN130</f>
        <v>75.488940638340338</v>
      </c>
      <c r="AJ130" s="74">
        <f t="shared" si="26"/>
        <v>36.588490003137863</v>
      </c>
      <c r="AK130" s="57" t="str">
        <f t="shared" ref="AK130:AL133" si="42">AP130</f>
        <v>.(|(.</v>
      </c>
      <c r="AL130" s="68" t="str">
        <f t="shared" si="42"/>
        <v>'(!('</v>
      </c>
      <c r="AM130" s="57"/>
      <c r="AN130" s="62">
        <f>AN129+(AO130-AO129)/$AN$18</f>
        <v>75.488940638340338</v>
      </c>
      <c r="AO130" s="7">
        <f>(D129+D130)/2</f>
        <v>36.588490003137863</v>
      </c>
      <c r="AP130" s="19" t="s">
        <v>305</v>
      </c>
      <c r="AQ130" s="51" t="s">
        <v>306</v>
      </c>
    </row>
    <row r="131" spans="1:43" ht="13.5">
      <c r="A131" s="147" t="s">
        <v>163</v>
      </c>
      <c r="B131" s="147">
        <f>3^6*11</f>
        <v>8019</v>
      </c>
      <c r="C131" s="150">
        <f>2^13</f>
        <v>8192</v>
      </c>
      <c r="D131" s="148">
        <f t="shared" si="38"/>
        <v>36.952052442918934</v>
      </c>
      <c r="E131" s="149" t="s">
        <v>70</v>
      </c>
      <c r="F131" s="174" t="s">
        <v>163</v>
      </c>
      <c r="G131" s="175"/>
      <c r="H131" s="174" t="s">
        <v>163</v>
      </c>
      <c r="I131" s="176"/>
      <c r="J131" s="175"/>
      <c r="M131" s="126"/>
      <c r="T131" s="67"/>
      <c r="U131" s="13"/>
      <c r="V131" s="13"/>
      <c r="W131" s="12"/>
      <c r="Y131" s="16"/>
      <c r="Z131" s="13"/>
      <c r="AA131" s="13"/>
      <c r="AB131" s="12"/>
      <c r="AC131" s="1"/>
      <c r="AD131" s="16"/>
      <c r="AE131" s="13"/>
      <c r="AF131" s="13"/>
      <c r="AG131" s="22"/>
      <c r="AI131" s="16">
        <f t="shared" ref="AI131:AI141" si="43">AN131</f>
        <v>76</v>
      </c>
      <c r="AJ131" s="66">
        <f t="shared" si="26"/>
        <v>36.837845310546136</v>
      </c>
      <c r="AK131" s="19" t="str">
        <f t="shared" si="42"/>
        <v>.(|(</v>
      </c>
      <c r="AL131" s="15" t="str">
        <f t="shared" si="42"/>
        <v>'(!(</v>
      </c>
      <c r="AM131" s="19"/>
      <c r="AN131" s="16">
        <f>AN129+1</f>
        <v>76</v>
      </c>
      <c r="AO131" s="7">
        <f>(AN131+AN129)/2*AN$18</f>
        <v>36.837845310546136</v>
      </c>
      <c r="AP131" s="19" t="s">
        <v>70</v>
      </c>
      <c r="AQ131" s="51" t="s">
        <v>71</v>
      </c>
    </row>
    <row r="132" spans="1:43" ht="13.5">
      <c r="A132" s="147" t="s">
        <v>336</v>
      </c>
      <c r="B132" s="147">
        <f>2^19</f>
        <v>524288</v>
      </c>
      <c r="C132" s="147">
        <f>3^7*5*7^2</f>
        <v>535815</v>
      </c>
      <c r="D132" s="148">
        <f t="shared" si="38"/>
        <v>37.650532860796602</v>
      </c>
      <c r="E132" s="151" t="s">
        <v>514</v>
      </c>
      <c r="F132" s="174" t="s">
        <v>336</v>
      </c>
      <c r="G132" s="177"/>
      <c r="H132" s="174" t="s">
        <v>336</v>
      </c>
      <c r="I132" s="176"/>
      <c r="J132" s="177"/>
      <c r="M132" s="127"/>
      <c r="T132" s="67"/>
      <c r="U132" s="13"/>
      <c r="V132" s="13"/>
      <c r="W132" s="12"/>
      <c r="Y132" s="67">
        <v>16</v>
      </c>
      <c r="Z132" s="13">
        <f>$AO132</f>
        <v>37.325763791480526</v>
      </c>
      <c r="AA132" s="19" t="s">
        <v>161</v>
      </c>
      <c r="AB132" s="15" t="s">
        <v>162</v>
      </c>
      <c r="AC132" s="1"/>
      <c r="AD132" s="67">
        <v>19.600000000000001</v>
      </c>
      <c r="AE132" s="13">
        <f>$AO132</f>
        <v>37.325763791480526</v>
      </c>
      <c r="AF132" s="4" t="s">
        <v>514</v>
      </c>
      <c r="AG132" s="51" t="s">
        <v>515</v>
      </c>
      <c r="AI132" s="16">
        <f t="shared" si="43"/>
        <v>77</v>
      </c>
      <c r="AJ132" s="66">
        <f t="shared" si="26"/>
        <v>37.325763791480526</v>
      </c>
      <c r="AK132" s="19" t="str">
        <f t="shared" si="42"/>
        <v>'~|)</v>
      </c>
      <c r="AL132" s="15" t="str">
        <f t="shared" si="42"/>
        <v>.~!)</v>
      </c>
      <c r="AM132" s="19"/>
      <c r="AN132" s="16">
        <f>AN131+1</f>
        <v>77</v>
      </c>
      <c r="AO132" s="7">
        <f>(AN132+AN131)/2*AN$18</f>
        <v>37.325763791480526</v>
      </c>
      <c r="AP132" s="4" t="s">
        <v>514</v>
      </c>
      <c r="AQ132" s="51" t="s">
        <v>515</v>
      </c>
    </row>
    <row r="133" spans="1:43" ht="13.5">
      <c r="A133" s="141" t="s">
        <v>160</v>
      </c>
      <c r="B133" s="141">
        <f>3^2*5</f>
        <v>45</v>
      </c>
      <c r="C133" s="141">
        <f>2*23</f>
        <v>46</v>
      </c>
      <c r="D133" s="143">
        <f t="shared" si="38"/>
        <v>38.050631672805665</v>
      </c>
      <c r="E133" s="144" t="s">
        <v>161</v>
      </c>
      <c r="F133" s="170" t="s">
        <v>160</v>
      </c>
      <c r="G133" s="171"/>
      <c r="H133" s="170" t="s">
        <v>160</v>
      </c>
      <c r="I133" s="172"/>
      <c r="J133" s="171"/>
      <c r="K133" s="170" t="s">
        <v>160</v>
      </c>
      <c r="L133" s="172"/>
      <c r="M133" s="171"/>
      <c r="T133" s="67"/>
      <c r="U133" s="13"/>
      <c r="V133" s="13"/>
      <c r="W133" s="12"/>
      <c r="Y133" s="16"/>
      <c r="Z133" s="13"/>
      <c r="AA133" s="13"/>
      <c r="AB133" s="12"/>
      <c r="AC133" s="1"/>
      <c r="AD133" s="67">
        <v>19.899999999999999</v>
      </c>
      <c r="AE133" s="13">
        <f>$AO133</f>
        <v>37.813682272414908</v>
      </c>
      <c r="AF133" s="19" t="s">
        <v>161</v>
      </c>
      <c r="AG133" s="15" t="s">
        <v>162</v>
      </c>
      <c r="AI133" s="16">
        <f>AN133</f>
        <v>78</v>
      </c>
      <c r="AJ133" s="66">
        <f>AO133</f>
        <v>37.813682272414908</v>
      </c>
      <c r="AK133" s="19" t="str">
        <f t="shared" si="42"/>
        <v>/|~</v>
      </c>
      <c r="AL133" s="15" t="str">
        <f t="shared" si="42"/>
        <v>\!~</v>
      </c>
      <c r="AM133" s="19"/>
      <c r="AN133" s="16">
        <f>AN132+1</f>
        <v>78</v>
      </c>
      <c r="AO133" s="7">
        <f>(AN133+AN132)/2*AN$18</f>
        <v>37.813682272414908</v>
      </c>
      <c r="AP133" s="19" t="s">
        <v>161</v>
      </c>
      <c r="AQ133" s="15" t="s">
        <v>162</v>
      </c>
    </row>
    <row r="134" spans="1:43" ht="13.5">
      <c r="A134" s="178" t="s">
        <v>156</v>
      </c>
      <c r="B134" s="178">
        <f>2^7*13</f>
        <v>1664</v>
      </c>
      <c r="C134" s="178">
        <f>3^5*7</f>
        <v>1701</v>
      </c>
      <c r="D134" s="179">
        <f t="shared" si="38"/>
        <v>38.073249026751341</v>
      </c>
      <c r="E134" s="180" t="s">
        <v>154</v>
      </c>
      <c r="F134" s="181" t="s">
        <v>156</v>
      </c>
      <c r="G134" s="182"/>
      <c r="J134" s="126"/>
      <c r="M134" s="126"/>
      <c r="T134" s="67"/>
      <c r="U134" s="13"/>
      <c r="V134" s="13"/>
      <c r="W134" s="12"/>
      <c r="Y134" s="67">
        <v>16.3</v>
      </c>
      <c r="Z134" s="13">
        <f>$AO134</f>
        <v>38.061940349778503</v>
      </c>
      <c r="AA134" s="19" t="s">
        <v>18</v>
      </c>
      <c r="AB134" s="15" t="s">
        <v>19</v>
      </c>
      <c r="AC134" s="1"/>
      <c r="AD134" s="16">
        <v>20</v>
      </c>
      <c r="AE134" s="13">
        <f>$AO134</f>
        <v>38.061940349778503</v>
      </c>
      <c r="AF134" s="19" t="s">
        <v>18</v>
      </c>
      <c r="AG134" s="15" t="s">
        <v>19</v>
      </c>
      <c r="AI134" s="62">
        <f>AN134</f>
        <v>78.50881056378141</v>
      </c>
      <c r="AJ134" s="66">
        <f>AO134</f>
        <v>38.061940349778503</v>
      </c>
      <c r="AK134" s="19" t="str">
        <f t="shared" ref="AK134:AL140" si="44">AP134</f>
        <v>(|(..</v>
      </c>
      <c r="AL134" s="15" t="str">
        <f t="shared" si="44"/>
        <v>(!(''</v>
      </c>
      <c r="AM134" s="19"/>
      <c r="AN134" s="62">
        <f>AN133+(AO134-AO133)/$AN$18</f>
        <v>78.50881056378141</v>
      </c>
      <c r="AO134" s="7">
        <f>(D133+D134)/2</f>
        <v>38.061940349778503</v>
      </c>
      <c r="AP134" s="19" t="s">
        <v>154</v>
      </c>
      <c r="AQ134" s="15" t="s">
        <v>155</v>
      </c>
    </row>
    <row r="135" spans="1:43" ht="13.5">
      <c r="A135" s="185" t="s">
        <v>159</v>
      </c>
      <c r="B135" s="191">
        <f>3^4*17</f>
        <v>1377</v>
      </c>
      <c r="C135" s="193">
        <f>2^7*11</f>
        <v>1408</v>
      </c>
      <c r="D135" s="186">
        <f t="shared" si="38"/>
        <v>38.542529402799694</v>
      </c>
      <c r="E135" s="180" t="s">
        <v>157</v>
      </c>
      <c r="F135" s="187" t="s">
        <v>159</v>
      </c>
      <c r="G135" s="182"/>
      <c r="J135" s="126"/>
      <c r="M135" s="126"/>
      <c r="T135" s="67"/>
      <c r="U135" s="13"/>
      <c r="V135" s="13"/>
      <c r="W135" s="12"/>
      <c r="Y135" s="16"/>
      <c r="Z135" s="13"/>
      <c r="AA135" s="13"/>
      <c r="AB135" s="12"/>
      <c r="AC135" s="1"/>
      <c r="AD135" s="16"/>
      <c r="AE135" s="13"/>
      <c r="AF135" s="13"/>
      <c r="AG135" s="22"/>
      <c r="AI135" s="16">
        <f t="shared" si="43"/>
        <v>79</v>
      </c>
      <c r="AJ135" s="66">
        <f t="shared" si="26"/>
        <v>38.301600753349298</v>
      </c>
      <c r="AK135" s="19" t="str">
        <f t="shared" si="44"/>
        <v>(|(.</v>
      </c>
      <c r="AL135" s="15" t="str">
        <f t="shared" si="44"/>
        <v>(!('</v>
      </c>
      <c r="AM135" s="19"/>
      <c r="AN135" s="16">
        <f>AN133+1</f>
        <v>79</v>
      </c>
      <c r="AO135" s="7">
        <f>(AN135+AN133)/2*AN$18</f>
        <v>38.301600753349298</v>
      </c>
      <c r="AP135" s="19" t="s">
        <v>157</v>
      </c>
      <c r="AQ135" s="15" t="s">
        <v>158</v>
      </c>
    </row>
    <row r="136" spans="1:43" ht="13.5">
      <c r="A136" s="135" t="s">
        <v>108</v>
      </c>
      <c r="B136" s="135">
        <f>11*2^2</f>
        <v>44</v>
      </c>
      <c r="C136" s="135">
        <f>3^2*5</f>
        <v>45</v>
      </c>
      <c r="D136" s="136">
        <f t="shared" si="38"/>
        <v>38.905773230852915</v>
      </c>
      <c r="E136" s="139" t="s">
        <v>18</v>
      </c>
      <c r="F136" s="163" t="s">
        <v>108</v>
      </c>
      <c r="G136" s="167"/>
      <c r="H136" s="163" t="s">
        <v>108</v>
      </c>
      <c r="I136" s="165"/>
      <c r="J136" s="167"/>
      <c r="K136" s="163" t="s">
        <v>108</v>
      </c>
      <c r="L136" s="165"/>
      <c r="M136" s="167"/>
      <c r="N136" s="163" t="s">
        <v>108</v>
      </c>
      <c r="O136" s="165"/>
      <c r="T136" s="67"/>
      <c r="U136" s="13"/>
      <c r="V136" s="13"/>
      <c r="W136" s="12"/>
      <c r="Y136" s="16"/>
      <c r="Z136" s="13"/>
      <c r="AA136" s="13"/>
      <c r="AB136" s="12"/>
      <c r="AC136" s="1"/>
      <c r="AD136" s="16"/>
      <c r="AE136" s="13"/>
      <c r="AF136" s="13"/>
      <c r="AG136" s="22"/>
      <c r="AI136" s="16">
        <f t="shared" si="43"/>
        <v>80</v>
      </c>
      <c r="AJ136" s="66">
        <f t="shared" si="26"/>
        <v>38.789519234283681</v>
      </c>
      <c r="AK136" s="19" t="str">
        <f t="shared" si="44"/>
        <v>(|(</v>
      </c>
      <c r="AL136" s="15" t="str">
        <f t="shared" si="44"/>
        <v>(!(</v>
      </c>
      <c r="AM136" s="19"/>
      <c r="AN136" s="16">
        <f>AN135+1</f>
        <v>80</v>
      </c>
      <c r="AO136" s="7">
        <f>(AN136+AN135)/2*AN$18</f>
        <v>38.789519234283681</v>
      </c>
      <c r="AP136" s="19" t="s">
        <v>18</v>
      </c>
      <c r="AQ136" s="15" t="s">
        <v>19</v>
      </c>
    </row>
    <row r="137" spans="1:43" ht="13.5">
      <c r="A137" s="210" t="s">
        <v>613</v>
      </c>
      <c r="B137" s="210">
        <f>3^8*5^4</f>
        <v>4100625</v>
      </c>
      <c r="C137" s="199">
        <f>2^22</f>
        <v>4194304</v>
      </c>
      <c r="D137" s="200">
        <f t="shared" si="38"/>
        <v>39.105137617561326</v>
      </c>
      <c r="E137" s="201" t="s">
        <v>614</v>
      </c>
      <c r="F137" s="125"/>
      <c r="G137" s="126"/>
      <c r="J137" s="126"/>
      <c r="M137" s="126"/>
      <c r="T137" s="67"/>
      <c r="U137" s="13"/>
      <c r="V137" s="13"/>
      <c r="W137" s="12"/>
      <c r="Y137" s="16"/>
      <c r="Z137" s="13"/>
      <c r="AA137" s="13"/>
      <c r="AB137" s="12"/>
      <c r="AC137" s="1"/>
      <c r="AD137" s="16"/>
      <c r="AE137" s="13"/>
      <c r="AF137" s="13"/>
      <c r="AG137" s="22"/>
      <c r="AI137" s="75"/>
      <c r="AJ137" s="74"/>
      <c r="AK137" s="57"/>
      <c r="AL137" s="68"/>
      <c r="AM137" s="57"/>
      <c r="AN137" s="62">
        <f>AN136+(AO137-AO136)/$AN$18</f>
        <v>80.442566121926575</v>
      </c>
      <c r="AO137" s="7">
        <f>(D136+D137)/2</f>
        <v>39.005455424207121</v>
      </c>
      <c r="AP137" s="19" t="s">
        <v>614</v>
      </c>
      <c r="AQ137" s="19" t="s">
        <v>615</v>
      </c>
    </row>
    <row r="138" spans="1:43" ht="13.5">
      <c r="A138" s="194" t="s">
        <v>618</v>
      </c>
      <c r="B138" s="194">
        <f>7*11*13</f>
        <v>1001</v>
      </c>
      <c r="C138" s="185">
        <f>2^10</f>
        <v>1024</v>
      </c>
      <c r="D138" s="186">
        <f t="shared" si="38"/>
        <v>39.328489396807768</v>
      </c>
      <c r="E138" s="180" t="s">
        <v>307</v>
      </c>
      <c r="F138" s="195" t="s">
        <v>618</v>
      </c>
      <c r="G138" s="182"/>
      <c r="J138" s="126"/>
      <c r="M138" s="126"/>
      <c r="T138" s="67"/>
      <c r="U138" s="13"/>
      <c r="V138" s="13"/>
      <c r="W138" s="12"/>
      <c r="Y138" s="16"/>
      <c r="Z138" s="13"/>
      <c r="AA138" s="13"/>
      <c r="AB138" s="12"/>
      <c r="AC138" s="1"/>
      <c r="AD138" s="16"/>
      <c r="AE138" s="13"/>
      <c r="AF138" s="13"/>
      <c r="AG138" s="22"/>
      <c r="AI138" s="16">
        <f t="shared" si="43"/>
        <v>81</v>
      </c>
      <c r="AJ138" s="66">
        <f t="shared" si="26"/>
        <v>39.27743771521807</v>
      </c>
      <c r="AK138" s="19" t="str">
        <f t="shared" si="44"/>
        <v>(|('</v>
      </c>
      <c r="AL138" s="15" t="str">
        <f t="shared" si="44"/>
        <v>(!(.</v>
      </c>
      <c r="AM138" s="19"/>
      <c r="AN138" s="16">
        <f>AN136+1</f>
        <v>81</v>
      </c>
      <c r="AO138" s="7">
        <f>(AN138+AN136)/2*AN$18</f>
        <v>39.27743771521807</v>
      </c>
      <c r="AP138" s="19" t="s">
        <v>307</v>
      </c>
      <c r="AQ138" s="15" t="s">
        <v>308</v>
      </c>
    </row>
    <row r="139" spans="1:43" ht="13.5">
      <c r="A139" s="199" t="s">
        <v>373</v>
      </c>
      <c r="B139" s="199">
        <f>5^2*19</f>
        <v>475</v>
      </c>
      <c r="C139" s="199">
        <f>2*3^5</f>
        <v>486</v>
      </c>
      <c r="D139" s="200">
        <f t="shared" si="38"/>
        <v>39.634560464964757</v>
      </c>
      <c r="E139" s="201" t="s">
        <v>616</v>
      </c>
      <c r="F139" s="133"/>
      <c r="G139" s="126"/>
      <c r="J139" s="126"/>
      <c r="M139" s="126"/>
      <c r="T139" s="67"/>
      <c r="U139" s="13"/>
      <c r="V139" s="13"/>
      <c r="W139" s="12"/>
      <c r="Y139" s="16"/>
      <c r="Z139" s="13"/>
      <c r="AA139" s="13"/>
      <c r="AB139" s="12"/>
      <c r="AC139" s="1"/>
      <c r="AD139" s="16"/>
      <c r="AE139" s="13"/>
      <c r="AF139" s="13"/>
      <c r="AG139" s="22"/>
      <c r="AI139" s="75"/>
      <c r="AJ139" s="74"/>
      <c r="AK139" s="57"/>
      <c r="AL139" s="68"/>
      <c r="AM139" s="57"/>
      <c r="AN139" s="62">
        <f>AN138+(AO139-AO138)/$AN$18</f>
        <v>81.41828138027762</v>
      </c>
      <c r="AO139" s="7">
        <f>(D138+D139)/2</f>
        <v>39.481524930886266</v>
      </c>
      <c r="AP139" s="19" t="s">
        <v>616</v>
      </c>
      <c r="AQ139" s="19" t="s">
        <v>617</v>
      </c>
    </row>
    <row r="140" spans="1:43" ht="13.5">
      <c r="A140" s="141" t="s">
        <v>187</v>
      </c>
      <c r="B140" s="141">
        <f>2^14</f>
        <v>16384</v>
      </c>
      <c r="C140" s="141">
        <f>3^6*23</f>
        <v>16767</v>
      </c>
      <c r="D140" s="143">
        <f t="shared" si="38"/>
        <v>40.004352460739959</v>
      </c>
      <c r="E140" s="144" t="s">
        <v>28</v>
      </c>
      <c r="F140" s="170" t="s">
        <v>187</v>
      </c>
      <c r="G140" s="171"/>
      <c r="H140" s="170" t="s">
        <v>187</v>
      </c>
      <c r="I140" s="172"/>
      <c r="J140" s="171"/>
      <c r="K140" s="170" t="s">
        <v>187</v>
      </c>
      <c r="L140" s="172"/>
      <c r="M140" s="171"/>
      <c r="T140" s="67"/>
      <c r="U140" s="13"/>
      <c r="V140" s="13"/>
      <c r="W140" s="12"/>
      <c r="Y140" s="16">
        <v>17</v>
      </c>
      <c r="Z140" s="13">
        <f>$AO140</f>
        <v>39.765356196152453</v>
      </c>
      <c r="AA140" s="19" t="s">
        <v>28</v>
      </c>
      <c r="AB140" s="15" t="s">
        <v>29</v>
      </c>
      <c r="AC140" s="1"/>
      <c r="AD140" s="16">
        <v>20.8</v>
      </c>
      <c r="AE140" s="13">
        <f>$AO140</f>
        <v>39.765356196152453</v>
      </c>
      <c r="AF140" s="19" t="s">
        <v>28</v>
      </c>
      <c r="AG140" s="15" t="s">
        <v>29</v>
      </c>
      <c r="AI140" s="16">
        <f t="shared" si="43"/>
        <v>82</v>
      </c>
      <c r="AJ140" s="66">
        <f t="shared" ref="AJ140:AJ208" si="45">AO140</f>
        <v>39.765356196152453</v>
      </c>
      <c r="AK140" s="19" t="str">
        <f t="shared" si="44"/>
        <v>~|\</v>
      </c>
      <c r="AL140" s="15" t="str">
        <f t="shared" si="44"/>
        <v>~!/</v>
      </c>
      <c r="AM140" s="19"/>
      <c r="AN140" s="16">
        <f>AN138+1</f>
        <v>82</v>
      </c>
      <c r="AO140" s="7">
        <f>(AN140+AN138)/2*AN$18</f>
        <v>39.765356196152453</v>
      </c>
      <c r="AP140" s="19" t="s">
        <v>28</v>
      </c>
      <c r="AQ140" s="15" t="s">
        <v>29</v>
      </c>
    </row>
    <row r="141" spans="1:43" ht="13.5">
      <c r="A141" s="203" t="s">
        <v>186</v>
      </c>
      <c r="B141" s="203">
        <f>3^3*11</f>
        <v>297</v>
      </c>
      <c r="C141" s="204">
        <f>2^4*19</f>
        <v>304</v>
      </c>
      <c r="D141" s="200">
        <f t="shared" si="38"/>
        <v>40.330071171383636</v>
      </c>
      <c r="E141" s="202" t="s">
        <v>516</v>
      </c>
      <c r="F141" s="11"/>
      <c r="G141" s="127"/>
      <c r="J141" s="127"/>
      <c r="M141" s="127"/>
      <c r="T141" s="67">
        <v>8</v>
      </c>
      <c r="U141" s="13">
        <f>$AO141</f>
        <v>40.253274677086843</v>
      </c>
      <c r="V141" s="19" t="s">
        <v>4</v>
      </c>
      <c r="W141" s="15" t="s">
        <v>3</v>
      </c>
      <c r="Y141" s="16"/>
      <c r="Z141" s="13"/>
      <c r="AA141" s="13"/>
      <c r="AB141" s="12"/>
      <c r="AC141" s="1"/>
      <c r="AD141" s="16">
        <v>21</v>
      </c>
      <c r="AE141" s="13">
        <f>$AO141</f>
        <v>40.253274677086843</v>
      </c>
      <c r="AF141" s="19" t="s">
        <v>80</v>
      </c>
      <c r="AG141" s="51" t="s">
        <v>81</v>
      </c>
      <c r="AI141" s="16">
        <f t="shared" si="43"/>
        <v>83</v>
      </c>
      <c r="AJ141" s="66">
        <f t="shared" si="45"/>
        <v>40.253274677086843</v>
      </c>
      <c r="AK141" s="19" t="str">
        <f>AP142</f>
        <v>.//|.</v>
      </c>
      <c r="AL141" s="15" t="str">
        <f>AQ142</f>
        <v>'\\!'</v>
      </c>
      <c r="AM141" s="19"/>
      <c r="AN141" s="16">
        <f>AN140+1</f>
        <v>83</v>
      </c>
      <c r="AO141" s="7">
        <f>(AN141+AN140)/2*AN$18</f>
        <v>40.253274677086843</v>
      </c>
      <c r="AP141" s="4" t="s">
        <v>516</v>
      </c>
      <c r="AQ141" s="15" t="s">
        <v>517</v>
      </c>
    </row>
    <row r="142" spans="1:43" ht="13.5">
      <c r="A142" s="185" t="s">
        <v>518</v>
      </c>
      <c r="B142" s="185">
        <f>2^5*5^2</f>
        <v>800</v>
      </c>
      <c r="C142" s="185">
        <f>3^2*7*13</f>
        <v>819</v>
      </c>
      <c r="D142" s="186">
        <f t="shared" si="38"/>
        <v>40.636142239540618</v>
      </c>
      <c r="E142" s="180" t="s">
        <v>313</v>
      </c>
      <c r="F142" s="187" t="s">
        <v>518</v>
      </c>
      <c r="G142" s="182"/>
      <c r="J142" s="126"/>
      <c r="M142" s="126"/>
      <c r="T142" s="67"/>
      <c r="U142" s="13"/>
      <c r="V142" s="19"/>
      <c r="W142" s="12"/>
      <c r="Y142" s="16"/>
      <c r="Z142" s="13"/>
      <c r="AA142" s="13"/>
      <c r="AB142" s="12"/>
      <c r="AC142" s="1"/>
      <c r="AD142" s="16"/>
      <c r="AE142" s="13"/>
      <c r="AF142" s="19"/>
      <c r="AG142" s="15"/>
      <c r="AI142" s="62"/>
      <c r="AJ142" s="66"/>
      <c r="AK142" s="19"/>
      <c r="AL142" s="15"/>
      <c r="AM142" s="19"/>
      <c r="AN142" s="62">
        <f>AN141+(AO142-AO141)/$AN$18</f>
        <v>83.471045958200122</v>
      </c>
      <c r="AO142" s="7">
        <f>(D141+D142)/2</f>
        <v>40.483106705462127</v>
      </c>
      <c r="AP142" s="19" t="s">
        <v>313</v>
      </c>
      <c r="AQ142" s="51" t="s">
        <v>314</v>
      </c>
    </row>
    <row r="143" spans="1:43" ht="13.5">
      <c r="A143" s="206" t="s">
        <v>521</v>
      </c>
      <c r="B143" s="206">
        <f>2^17*11</f>
        <v>1441792</v>
      </c>
      <c r="C143" s="206">
        <f>3^10*5^2</f>
        <v>1476225</v>
      </c>
      <c r="D143" s="207">
        <f t="shared" si="38"/>
        <v>40.85949401878721</v>
      </c>
      <c r="E143" s="202" t="s">
        <v>519</v>
      </c>
      <c r="F143" s="132"/>
      <c r="G143" s="128"/>
      <c r="J143" s="128"/>
      <c r="M143" s="128"/>
      <c r="T143" s="67"/>
      <c r="U143" s="13"/>
      <c r="V143" s="13"/>
      <c r="W143" s="12"/>
      <c r="Y143" s="16"/>
      <c r="Z143" s="13"/>
      <c r="AA143" s="13"/>
      <c r="AB143" s="12"/>
      <c r="AC143" s="1"/>
      <c r="AD143" s="16"/>
      <c r="AE143" s="13"/>
      <c r="AF143" s="13"/>
      <c r="AG143" s="22"/>
      <c r="AI143" s="16">
        <f>AN143</f>
        <v>84</v>
      </c>
      <c r="AJ143" s="66">
        <f t="shared" si="45"/>
        <v>40.741193158021225</v>
      </c>
      <c r="AK143" s="19" t="str">
        <f>AP144</f>
        <v>.//|</v>
      </c>
      <c r="AL143" s="15" t="str">
        <f>AQ144</f>
        <v>'\\!</v>
      </c>
      <c r="AM143" s="19"/>
      <c r="AN143" s="16">
        <f>AN141+1</f>
        <v>84</v>
      </c>
      <c r="AO143" s="7">
        <f>(AN143+AN141)/2*AN$18</f>
        <v>40.741193158021225</v>
      </c>
      <c r="AP143" s="58" t="s">
        <v>519</v>
      </c>
      <c r="AQ143" s="68" t="s">
        <v>520</v>
      </c>
    </row>
    <row r="144" spans="1:43" ht="13.5">
      <c r="A144" s="147" t="s">
        <v>110</v>
      </c>
      <c r="B144" s="147">
        <f>5^3</f>
        <v>125</v>
      </c>
      <c r="C144" s="150">
        <f>2^7</f>
        <v>128</v>
      </c>
      <c r="D144" s="148">
        <f t="shared" si="38"/>
        <v>41.058858405495592</v>
      </c>
      <c r="E144" s="149" t="s">
        <v>80</v>
      </c>
      <c r="F144" s="174" t="s">
        <v>110</v>
      </c>
      <c r="G144" s="175"/>
      <c r="H144" s="174" t="s">
        <v>110</v>
      </c>
      <c r="I144" s="176"/>
      <c r="J144" s="126"/>
      <c r="M144" s="126"/>
      <c r="T144" s="67"/>
      <c r="U144" s="13"/>
      <c r="V144" s="13"/>
      <c r="W144" s="12"/>
      <c r="Y144" s="16"/>
      <c r="Z144" s="13"/>
      <c r="AA144" s="13"/>
      <c r="AB144" s="12"/>
      <c r="AC144" s="1"/>
      <c r="AD144" s="16"/>
      <c r="AE144" s="13"/>
      <c r="AF144" s="13"/>
      <c r="AG144" s="22"/>
      <c r="AI144" s="62"/>
      <c r="AJ144" s="66"/>
      <c r="AK144" s="19"/>
      <c r="AL144" s="15"/>
      <c r="AM144" s="19"/>
      <c r="AN144" s="62">
        <f>AN143+(AO144-AO143)/$AN$18</f>
        <v>84.446761216551437</v>
      </c>
      <c r="AO144" s="7">
        <f>(D143+D144)/2</f>
        <v>40.959176212141401</v>
      </c>
      <c r="AP144" s="19" t="s">
        <v>80</v>
      </c>
      <c r="AQ144" s="51" t="s">
        <v>81</v>
      </c>
    </row>
    <row r="145" spans="1:43" ht="13.5">
      <c r="A145" s="178" t="s">
        <v>343</v>
      </c>
      <c r="B145" s="178">
        <f>3^7</f>
        <v>2187</v>
      </c>
      <c r="C145" s="178">
        <f>2^6*5*7</f>
        <v>2240</v>
      </c>
      <c r="D145" s="179">
        <f t="shared" si="38"/>
        <v>41.454614276247781</v>
      </c>
      <c r="E145" s="180" t="s">
        <v>311</v>
      </c>
      <c r="F145" s="181" t="s">
        <v>343</v>
      </c>
      <c r="G145" s="182"/>
      <c r="J145" s="126"/>
      <c r="M145" s="126"/>
      <c r="T145" s="67"/>
      <c r="U145" s="13"/>
      <c r="V145" s="13"/>
      <c r="W145" s="12"/>
      <c r="Y145" s="16"/>
      <c r="Z145" s="13"/>
      <c r="AA145" s="13"/>
      <c r="AB145" s="12"/>
      <c r="AC145" s="1"/>
      <c r="AD145" s="16"/>
      <c r="AE145" s="13"/>
      <c r="AF145" s="13"/>
      <c r="AG145" s="22"/>
      <c r="AI145" s="16">
        <f t="shared" ref="AI145:AI161" si="46">AN145</f>
        <v>85</v>
      </c>
      <c r="AJ145" s="66">
        <f t="shared" si="45"/>
        <v>41.229111638955615</v>
      </c>
      <c r="AK145" s="19" t="str">
        <f t="shared" ref="AK145:AK161" si="47">AP145</f>
        <v>.//|'</v>
      </c>
      <c r="AL145" s="15" t="str">
        <f t="shared" ref="AL145:AL161" si="48">AQ145</f>
        <v>'\\!.</v>
      </c>
      <c r="AM145" s="19"/>
      <c r="AN145" s="16">
        <f>AN143+1</f>
        <v>85</v>
      </c>
      <c r="AO145" s="7">
        <f>(AN145+AN143)/2*AN$18</f>
        <v>41.229111638955615</v>
      </c>
      <c r="AP145" s="19" t="s">
        <v>311</v>
      </c>
      <c r="AQ145" s="51" t="s">
        <v>312</v>
      </c>
    </row>
    <row r="146" spans="1:43" ht="13.5">
      <c r="A146" s="178" t="s">
        <v>188</v>
      </c>
      <c r="B146" s="178">
        <f>2^6*7</f>
        <v>448</v>
      </c>
      <c r="C146" s="189">
        <f>3^3*17</f>
        <v>459</v>
      </c>
      <c r="D146" s="186">
        <f t="shared" si="38"/>
        <v>41.994505627444561</v>
      </c>
      <c r="E146" s="180" t="s">
        <v>309</v>
      </c>
      <c r="F146" s="181" t="s">
        <v>188</v>
      </c>
      <c r="G146" s="182"/>
      <c r="J146" s="126"/>
      <c r="M146" s="126"/>
      <c r="T146" s="67"/>
      <c r="U146" s="13"/>
      <c r="V146" s="13"/>
      <c r="W146" s="12"/>
      <c r="Y146" s="16">
        <v>18</v>
      </c>
      <c r="Z146" s="13">
        <f>$AO146</f>
        <v>41.717030119889998</v>
      </c>
      <c r="AA146" s="19" t="s">
        <v>4</v>
      </c>
      <c r="AB146" s="15" t="s">
        <v>3</v>
      </c>
      <c r="AC146" s="1"/>
      <c r="AD146" s="16">
        <v>22</v>
      </c>
      <c r="AE146" s="13">
        <f>$AO146</f>
        <v>41.717030119889998</v>
      </c>
      <c r="AF146" s="19" t="s">
        <v>4</v>
      </c>
      <c r="AG146" s="15" t="s">
        <v>3</v>
      </c>
      <c r="AI146" s="16">
        <f t="shared" si="46"/>
        <v>86</v>
      </c>
      <c r="AJ146" s="66">
        <f t="shared" si="45"/>
        <v>41.717030119889998</v>
      </c>
      <c r="AK146" s="19" t="str">
        <f t="shared" si="47"/>
        <v>//|..</v>
      </c>
      <c r="AL146" s="15" t="str">
        <f t="shared" si="48"/>
        <v>\\!''</v>
      </c>
      <c r="AM146" s="19"/>
      <c r="AN146" s="16">
        <f t="shared" ref="AN146:AN161" si="49">AN145+1</f>
        <v>86</v>
      </c>
      <c r="AO146" s="7">
        <f t="shared" ref="AO146:AO161" si="50">(AN146+AN145)/2*AN$18</f>
        <v>41.717030119889998</v>
      </c>
      <c r="AP146" s="19" t="s">
        <v>309</v>
      </c>
      <c r="AQ146" s="15" t="s">
        <v>310</v>
      </c>
    </row>
    <row r="147" spans="1:43" ht="13.5">
      <c r="A147" s="185" t="s">
        <v>522</v>
      </c>
      <c r="B147" s="185">
        <f>2^20*5</f>
        <v>5242880</v>
      </c>
      <c r="C147" s="185">
        <f>3^10*7*13</f>
        <v>5373459</v>
      </c>
      <c r="D147" s="186">
        <f t="shared" si="38"/>
        <v>42.589863027474955</v>
      </c>
      <c r="E147" s="180" t="s">
        <v>224</v>
      </c>
      <c r="F147" s="187" t="s">
        <v>522</v>
      </c>
      <c r="G147" s="182"/>
      <c r="J147" s="126"/>
      <c r="M147" s="126"/>
      <c r="T147" s="67"/>
      <c r="U147" s="13"/>
      <c r="V147" s="13"/>
      <c r="W147" s="12"/>
      <c r="Y147" s="16"/>
      <c r="Z147" s="13"/>
      <c r="AA147" s="13"/>
      <c r="AB147" s="12"/>
      <c r="AC147" s="1"/>
      <c r="AD147" s="16"/>
      <c r="AE147" s="13"/>
      <c r="AF147" s="13"/>
      <c r="AG147" s="22"/>
      <c r="AI147" s="16">
        <f t="shared" si="46"/>
        <v>87</v>
      </c>
      <c r="AJ147" s="66">
        <f t="shared" si="45"/>
        <v>42.204948600824387</v>
      </c>
      <c r="AK147" s="19" t="str">
        <f t="shared" si="47"/>
        <v>//|.</v>
      </c>
      <c r="AL147" s="15" t="str">
        <f t="shared" si="48"/>
        <v>\\!'</v>
      </c>
      <c r="AM147" s="19"/>
      <c r="AN147" s="16">
        <f t="shared" si="49"/>
        <v>87</v>
      </c>
      <c r="AO147" s="7">
        <f t="shared" si="50"/>
        <v>42.204948600824387</v>
      </c>
      <c r="AP147" s="19" t="s">
        <v>224</v>
      </c>
      <c r="AQ147" s="15" t="s">
        <v>223</v>
      </c>
    </row>
    <row r="148" spans="1:43" ht="13.5">
      <c r="A148" s="135" t="s">
        <v>109</v>
      </c>
      <c r="B148" s="135">
        <f>5^2*2^8</f>
        <v>6400</v>
      </c>
      <c r="C148" s="135">
        <f>3^8</f>
        <v>6561</v>
      </c>
      <c r="D148" s="136">
        <f t="shared" ref="D148:D179" si="51">1200*LN($C148/$B148)/LN(2)</f>
        <v>43.012579193429687</v>
      </c>
      <c r="E148" s="139" t="s">
        <v>4</v>
      </c>
      <c r="F148" s="163" t="s">
        <v>109</v>
      </c>
      <c r="G148" s="167"/>
      <c r="H148" s="163" t="s">
        <v>109</v>
      </c>
      <c r="I148" s="165"/>
      <c r="J148" s="167"/>
      <c r="K148" s="163" t="s">
        <v>109</v>
      </c>
      <c r="L148" s="165"/>
      <c r="M148" s="167"/>
      <c r="N148" s="163" t="s">
        <v>109</v>
      </c>
      <c r="O148" s="165"/>
      <c r="T148" s="67"/>
      <c r="U148" s="13"/>
      <c r="V148" s="13"/>
      <c r="W148" s="12"/>
      <c r="Y148" s="16"/>
      <c r="Z148" s="13"/>
      <c r="AA148" s="13"/>
      <c r="AB148" s="12"/>
      <c r="AC148" s="1"/>
      <c r="AD148" s="16"/>
      <c r="AE148" s="13"/>
      <c r="AF148" s="13"/>
      <c r="AG148" s="22"/>
      <c r="AI148" s="16">
        <f t="shared" si="46"/>
        <v>88</v>
      </c>
      <c r="AJ148" s="66">
        <f t="shared" si="45"/>
        <v>42.69286708175877</v>
      </c>
      <c r="AK148" s="19" t="str">
        <f t="shared" si="47"/>
        <v>//|</v>
      </c>
      <c r="AL148" s="15" t="str">
        <f t="shared" si="48"/>
        <v>\\!</v>
      </c>
      <c r="AM148" s="19"/>
      <c r="AN148" s="16">
        <f t="shared" si="49"/>
        <v>88</v>
      </c>
      <c r="AO148" s="7">
        <f t="shared" si="50"/>
        <v>42.69286708175877</v>
      </c>
      <c r="AP148" s="19" t="s">
        <v>4</v>
      </c>
      <c r="AQ148" s="15" t="s">
        <v>3</v>
      </c>
    </row>
    <row r="149" spans="1:43" ht="13.5">
      <c r="A149" s="185" t="s">
        <v>220</v>
      </c>
      <c r="B149" s="185">
        <f>2^9</f>
        <v>512</v>
      </c>
      <c r="C149" s="185">
        <f>3*5^2*7</f>
        <v>525</v>
      </c>
      <c r="D149" s="186">
        <f t="shared" si="51"/>
        <v>43.408335064181976</v>
      </c>
      <c r="E149" s="180" t="s">
        <v>221</v>
      </c>
      <c r="F149" s="187" t="s">
        <v>220</v>
      </c>
      <c r="G149" s="182"/>
      <c r="J149" s="126"/>
      <c r="M149" s="126"/>
      <c r="T149" s="67"/>
      <c r="U149" s="13"/>
      <c r="V149" s="13"/>
      <c r="W149" s="12"/>
      <c r="Y149" s="16"/>
      <c r="Z149" s="13"/>
      <c r="AA149" s="13"/>
      <c r="AB149" s="12"/>
      <c r="AC149" s="1"/>
      <c r="AD149" s="16"/>
      <c r="AE149" s="13"/>
      <c r="AF149" s="13"/>
      <c r="AG149" s="22"/>
      <c r="AI149" s="16">
        <f t="shared" si="46"/>
        <v>89</v>
      </c>
      <c r="AJ149" s="66">
        <f t="shared" si="45"/>
        <v>43.180785562693153</v>
      </c>
      <c r="AK149" s="19" t="str">
        <f t="shared" si="47"/>
        <v>//|'</v>
      </c>
      <c r="AL149" s="15" t="str">
        <f t="shared" si="48"/>
        <v>\\!.</v>
      </c>
      <c r="AM149" s="19"/>
      <c r="AN149" s="16">
        <f t="shared" si="49"/>
        <v>89</v>
      </c>
      <c r="AO149" s="7">
        <f t="shared" si="50"/>
        <v>43.180785562693153</v>
      </c>
      <c r="AP149" s="19" t="s">
        <v>221</v>
      </c>
      <c r="AQ149" s="15" t="s">
        <v>222</v>
      </c>
    </row>
    <row r="150" spans="1:43" ht="13.5">
      <c r="A150" s="178" t="s">
        <v>164</v>
      </c>
      <c r="B150" s="178">
        <f>3*13</f>
        <v>39</v>
      </c>
      <c r="C150" s="178">
        <f>2^3*5</f>
        <v>40</v>
      </c>
      <c r="D150" s="179">
        <f t="shared" si="51"/>
        <v>43.831051230136659</v>
      </c>
      <c r="E150" s="180" t="s">
        <v>165</v>
      </c>
      <c r="F150" s="181" t="s">
        <v>164</v>
      </c>
      <c r="G150" s="182"/>
      <c r="J150" s="126"/>
      <c r="M150" s="126"/>
      <c r="T150" s="67"/>
      <c r="U150" s="13"/>
      <c r="V150" s="13"/>
      <c r="W150" s="12"/>
      <c r="Y150" s="16"/>
      <c r="Z150" s="13"/>
      <c r="AA150" s="13"/>
      <c r="AB150" s="12"/>
      <c r="AC150" s="1"/>
      <c r="AD150" s="16"/>
      <c r="AE150" s="13"/>
      <c r="AF150" s="13"/>
      <c r="AG150" s="22"/>
      <c r="AI150" s="16">
        <f t="shared" si="46"/>
        <v>90</v>
      </c>
      <c r="AJ150" s="66">
        <f t="shared" si="45"/>
        <v>43.668704043627542</v>
      </c>
      <c r="AK150" s="19" t="str">
        <f t="shared" si="47"/>
        <v>//|''</v>
      </c>
      <c r="AL150" s="15" t="str">
        <f t="shared" si="48"/>
        <v>\\!..</v>
      </c>
      <c r="AM150" s="19"/>
      <c r="AN150" s="16">
        <f t="shared" si="49"/>
        <v>90</v>
      </c>
      <c r="AO150" s="7">
        <f t="shared" si="50"/>
        <v>43.668704043627542</v>
      </c>
      <c r="AP150" s="19" t="s">
        <v>165</v>
      </c>
      <c r="AQ150" s="15" t="s">
        <v>166</v>
      </c>
    </row>
    <row r="151" spans="1:43" ht="13.5">
      <c r="A151" s="185" t="s">
        <v>374</v>
      </c>
      <c r="B151" s="185">
        <f>2^11*17</f>
        <v>34816</v>
      </c>
      <c r="C151" s="185">
        <f>3^6*7^2</f>
        <v>35721</v>
      </c>
      <c r="D151" s="186">
        <f t="shared" si="51"/>
        <v>44.426408630166897</v>
      </c>
      <c r="E151" s="183" t="s">
        <v>315</v>
      </c>
      <c r="F151" s="187" t="s">
        <v>374</v>
      </c>
      <c r="G151" s="184"/>
      <c r="J151" s="128"/>
      <c r="M151" s="128"/>
      <c r="T151" s="67"/>
      <c r="U151" s="13"/>
      <c r="V151" s="13"/>
      <c r="W151" s="12"/>
      <c r="Y151" s="16"/>
      <c r="Z151" s="13"/>
      <c r="AA151" s="13"/>
      <c r="AB151" s="12"/>
      <c r="AC151" s="1"/>
      <c r="AD151" s="16">
        <v>23</v>
      </c>
      <c r="AE151" s="13">
        <f>$AO151</f>
        <v>44.156622524561925</v>
      </c>
      <c r="AF151" s="4" t="s">
        <v>66</v>
      </c>
      <c r="AG151" s="15" t="s">
        <v>67</v>
      </c>
      <c r="AI151" s="16">
        <f t="shared" si="46"/>
        <v>91</v>
      </c>
      <c r="AJ151" s="66">
        <f t="shared" si="45"/>
        <v>44.156622524561925</v>
      </c>
      <c r="AK151" s="19" t="str">
        <f t="shared" si="47"/>
        <v>'//|.</v>
      </c>
      <c r="AL151" s="15" t="str">
        <f t="shared" si="48"/>
        <v>.\\!'</v>
      </c>
      <c r="AM151" s="19"/>
      <c r="AN151" s="16">
        <f t="shared" si="49"/>
        <v>91</v>
      </c>
      <c r="AO151" s="7">
        <f t="shared" si="50"/>
        <v>44.156622524561925</v>
      </c>
      <c r="AP151" s="58" t="s">
        <v>315</v>
      </c>
      <c r="AQ151" s="68" t="s">
        <v>316</v>
      </c>
    </row>
    <row r="152" spans="1:43" ht="13.5">
      <c r="A152" s="147" t="s">
        <v>168</v>
      </c>
      <c r="B152" s="147">
        <f>2*19</f>
        <v>38</v>
      </c>
      <c r="C152" s="147">
        <f>3*13</f>
        <v>39</v>
      </c>
      <c r="D152" s="148">
        <f t="shared" si="51"/>
        <v>44.969646502395555</v>
      </c>
      <c r="E152" s="151" t="s">
        <v>66</v>
      </c>
      <c r="F152" s="174" t="s">
        <v>168</v>
      </c>
      <c r="G152" s="177"/>
      <c r="H152" s="174" t="s">
        <v>168</v>
      </c>
      <c r="I152" s="176"/>
      <c r="J152" s="177"/>
      <c r="M152" s="127"/>
      <c r="T152" s="67"/>
      <c r="U152" s="13"/>
      <c r="V152" s="13"/>
      <c r="W152" s="12"/>
      <c r="Y152" s="16">
        <v>19</v>
      </c>
      <c r="Z152" s="13">
        <f>$AO152</f>
        <v>44.644541005496315</v>
      </c>
      <c r="AA152" s="19" t="s">
        <v>383</v>
      </c>
      <c r="AB152" s="15" t="s">
        <v>385</v>
      </c>
      <c r="AC152" s="1"/>
      <c r="AD152" s="16"/>
      <c r="AE152" s="13"/>
      <c r="AF152" s="13"/>
      <c r="AG152" s="22"/>
      <c r="AI152" s="16">
        <f t="shared" si="46"/>
        <v>92</v>
      </c>
      <c r="AJ152" s="66">
        <f t="shared" si="45"/>
        <v>44.644541005496315</v>
      </c>
      <c r="AK152" s="19" t="str">
        <f t="shared" si="47"/>
        <v>'//|</v>
      </c>
      <c r="AL152" s="15" t="str">
        <f t="shared" si="48"/>
        <v>.\\!</v>
      </c>
      <c r="AM152" s="19"/>
      <c r="AN152" s="16">
        <f t="shared" si="49"/>
        <v>92</v>
      </c>
      <c r="AO152" s="7">
        <f t="shared" si="50"/>
        <v>44.644541005496315</v>
      </c>
      <c r="AP152" s="4" t="s">
        <v>66</v>
      </c>
      <c r="AQ152" s="51" t="s">
        <v>67</v>
      </c>
    </row>
    <row r="153" spans="1:43" ht="13.5">
      <c r="A153" s="185" t="s">
        <v>362</v>
      </c>
      <c r="B153" s="185">
        <f>3*5^2</f>
        <v>75</v>
      </c>
      <c r="C153" s="185">
        <f>7*11</f>
        <v>77</v>
      </c>
      <c r="D153" s="186">
        <f t="shared" si="51"/>
        <v>45.561420238824496</v>
      </c>
      <c r="E153" s="183" t="s">
        <v>317</v>
      </c>
      <c r="F153" s="187" t="s">
        <v>362</v>
      </c>
      <c r="G153" s="184"/>
      <c r="J153" s="127"/>
      <c r="M153" s="127"/>
      <c r="T153" s="67"/>
      <c r="U153" s="13"/>
      <c r="V153" s="13"/>
      <c r="W153" s="12"/>
      <c r="Y153" s="16"/>
      <c r="Z153" s="13"/>
      <c r="AA153" s="13"/>
      <c r="AB153" s="12"/>
      <c r="AC153" s="1"/>
      <c r="AD153" s="16"/>
      <c r="AE153" s="13"/>
      <c r="AF153" s="13"/>
      <c r="AG153" s="22"/>
      <c r="AI153" s="16">
        <f t="shared" si="46"/>
        <v>93</v>
      </c>
      <c r="AJ153" s="66">
        <f t="shared" si="45"/>
        <v>45.132459486430697</v>
      </c>
      <c r="AK153" s="19" t="str">
        <f t="shared" si="47"/>
        <v>'//|'</v>
      </c>
      <c r="AL153" s="15" t="str">
        <f t="shared" si="48"/>
        <v>.\\!.</v>
      </c>
      <c r="AM153" s="19"/>
      <c r="AN153" s="16">
        <f t="shared" si="49"/>
        <v>93</v>
      </c>
      <c r="AO153" s="7">
        <f t="shared" si="50"/>
        <v>45.132459486430697</v>
      </c>
      <c r="AP153" s="4" t="s">
        <v>317</v>
      </c>
      <c r="AQ153" s="51" t="s">
        <v>318</v>
      </c>
    </row>
    <row r="154" spans="1:43" ht="13.5">
      <c r="A154" s="185" t="s">
        <v>319</v>
      </c>
      <c r="B154" s="185">
        <f>2^12*13</f>
        <v>53248</v>
      </c>
      <c r="C154" s="185">
        <f>3^7*5^2</f>
        <v>54675</v>
      </c>
      <c r="D154" s="186">
        <f t="shared" si="51"/>
        <v>45.784772018070854</v>
      </c>
      <c r="E154" s="180" t="s">
        <v>382</v>
      </c>
      <c r="F154" s="187" t="s">
        <v>319</v>
      </c>
      <c r="G154" s="182"/>
      <c r="J154" s="126"/>
      <c r="M154" s="126"/>
      <c r="T154" s="67">
        <v>9</v>
      </c>
      <c r="U154" s="13">
        <f>$AO154</f>
        <v>45.620377967365087</v>
      </c>
      <c r="V154" s="19" t="s">
        <v>5</v>
      </c>
      <c r="W154" s="15" t="s">
        <v>6</v>
      </c>
      <c r="Y154" s="16"/>
      <c r="Z154" s="13"/>
      <c r="AA154" s="13"/>
      <c r="AB154" s="12"/>
      <c r="AC154" s="1"/>
      <c r="AD154" s="16">
        <v>24</v>
      </c>
      <c r="AE154" s="13">
        <f>$AO154</f>
        <v>45.620377967365087</v>
      </c>
      <c r="AF154" s="19" t="s">
        <v>383</v>
      </c>
      <c r="AG154" s="15" t="s">
        <v>385</v>
      </c>
      <c r="AI154" s="16">
        <f t="shared" si="46"/>
        <v>94</v>
      </c>
      <c r="AJ154" s="66">
        <f t="shared" si="45"/>
        <v>45.620377967365087</v>
      </c>
      <c r="AK154" s="19" t="str">
        <f t="shared" si="47"/>
        <v>)//|.</v>
      </c>
      <c r="AL154" s="15" t="str">
        <f t="shared" si="48"/>
        <v>)\\!'</v>
      </c>
      <c r="AM154" s="19"/>
      <c r="AN154" s="16">
        <f>AN153+1</f>
        <v>94</v>
      </c>
      <c r="AO154" s="7">
        <f t="shared" si="50"/>
        <v>45.620377967365087</v>
      </c>
      <c r="AP154" s="19" t="s">
        <v>382</v>
      </c>
      <c r="AQ154" s="15" t="s">
        <v>384</v>
      </c>
    </row>
    <row r="155" spans="1:43" ht="13.5">
      <c r="A155" s="141" t="s">
        <v>171</v>
      </c>
      <c r="B155" s="141">
        <f>3^4*5</f>
        <v>405</v>
      </c>
      <c r="C155" s="141">
        <f>2^5*13</f>
        <v>416</v>
      </c>
      <c r="D155" s="143">
        <f t="shared" si="51"/>
        <v>46.393944442926234</v>
      </c>
      <c r="E155" s="144" t="s">
        <v>383</v>
      </c>
      <c r="F155" s="170" t="s">
        <v>171</v>
      </c>
      <c r="G155" s="171"/>
      <c r="H155" s="170" t="s">
        <v>171</v>
      </c>
      <c r="I155" s="172"/>
      <c r="J155" s="171"/>
      <c r="K155" s="170" t="s">
        <v>171</v>
      </c>
      <c r="L155" s="172"/>
      <c r="M155" s="171"/>
      <c r="T155" s="67"/>
      <c r="U155" s="13"/>
      <c r="V155" s="19"/>
      <c r="W155" s="12"/>
      <c r="Y155" s="16"/>
      <c r="Z155" s="13"/>
      <c r="AA155" s="13"/>
      <c r="AB155" s="12"/>
      <c r="AC155" s="1"/>
      <c r="AD155" s="16"/>
      <c r="AE155" s="13"/>
      <c r="AF155" s="19"/>
      <c r="AG155" s="15"/>
      <c r="AI155" s="16">
        <f t="shared" si="46"/>
        <v>95</v>
      </c>
      <c r="AJ155" s="66">
        <f t="shared" si="45"/>
        <v>46.10829644829947</v>
      </c>
      <c r="AK155" s="19" t="str">
        <f t="shared" si="47"/>
        <v>)//|</v>
      </c>
      <c r="AL155" s="15" t="str">
        <f t="shared" si="48"/>
        <v>)\\!</v>
      </c>
      <c r="AM155" s="19"/>
      <c r="AN155" s="16">
        <f t="shared" si="49"/>
        <v>95</v>
      </c>
      <c r="AO155" s="7">
        <f t="shared" si="50"/>
        <v>46.10829644829947</v>
      </c>
      <c r="AP155" s="19" t="s">
        <v>383</v>
      </c>
      <c r="AQ155" s="15" t="s">
        <v>385</v>
      </c>
    </row>
    <row r="156" spans="1:43" ht="13.5">
      <c r="A156" s="191" t="s">
        <v>381</v>
      </c>
      <c r="B156" s="191">
        <f>3^6*5^2*7</f>
        <v>127575</v>
      </c>
      <c r="C156" s="191">
        <f>2^17</f>
        <v>131072</v>
      </c>
      <c r="D156" s="186">
        <f t="shared" si="51"/>
        <v>46.816660608881037</v>
      </c>
      <c r="E156" s="180" t="s">
        <v>523</v>
      </c>
      <c r="F156" s="192" t="s">
        <v>381</v>
      </c>
      <c r="G156" s="182"/>
      <c r="J156" s="129"/>
      <c r="M156" s="129"/>
      <c r="T156" s="67"/>
      <c r="U156" s="13"/>
      <c r="V156" s="13"/>
      <c r="W156" s="12"/>
      <c r="Y156" s="16"/>
      <c r="Z156" s="13"/>
      <c r="AA156" s="13"/>
      <c r="AB156" s="12"/>
      <c r="AC156" s="1"/>
      <c r="AD156" s="16"/>
      <c r="AE156" s="13"/>
      <c r="AF156" s="19"/>
      <c r="AG156" s="15"/>
      <c r="AI156" s="16">
        <f t="shared" si="46"/>
        <v>96</v>
      </c>
      <c r="AJ156" s="66">
        <f t="shared" si="45"/>
        <v>46.596214929233859</v>
      </c>
      <c r="AK156" s="19" t="str">
        <f t="shared" si="47"/>
        <v>)//|'</v>
      </c>
      <c r="AL156" s="15" t="str">
        <f t="shared" si="48"/>
        <v>)\\!.</v>
      </c>
      <c r="AM156" s="19"/>
      <c r="AN156" s="16">
        <f t="shared" si="49"/>
        <v>96</v>
      </c>
      <c r="AO156" s="7">
        <f t="shared" si="50"/>
        <v>46.596214929233859</v>
      </c>
      <c r="AP156" s="57" t="s">
        <v>523</v>
      </c>
      <c r="AQ156" s="68" t="s">
        <v>524</v>
      </c>
    </row>
    <row r="157" spans="1:43" ht="13.5">
      <c r="A157" s="191" t="s">
        <v>527</v>
      </c>
      <c r="B157" s="191">
        <f>2^2*3^2</f>
        <v>36</v>
      </c>
      <c r="C157" s="191">
        <v>37</v>
      </c>
      <c r="D157" s="186">
        <f t="shared" si="51"/>
        <v>47.434037023964734</v>
      </c>
      <c r="E157" s="180" t="s">
        <v>525</v>
      </c>
      <c r="F157" s="192" t="s">
        <v>527</v>
      </c>
      <c r="G157" s="182"/>
      <c r="J157" s="129"/>
      <c r="M157" s="129"/>
      <c r="T157" s="67"/>
      <c r="U157" s="13"/>
      <c r="V157" s="13"/>
      <c r="W157" s="12"/>
      <c r="Y157" s="16"/>
      <c r="Z157" s="13"/>
      <c r="AA157" s="13"/>
      <c r="AB157" s="12"/>
      <c r="AC157" s="1"/>
      <c r="AD157" s="16"/>
      <c r="AE157" s="13"/>
      <c r="AF157" s="13"/>
      <c r="AG157" s="22"/>
      <c r="AI157" s="16">
        <f t="shared" si="46"/>
        <v>97</v>
      </c>
      <c r="AJ157" s="66">
        <f t="shared" si="45"/>
        <v>47.084133410168242</v>
      </c>
      <c r="AK157" s="19" t="str">
        <f t="shared" si="47"/>
        <v>)//|''</v>
      </c>
      <c r="AL157" s="15" t="str">
        <f t="shared" si="48"/>
        <v>)\\!..</v>
      </c>
      <c r="AM157" s="19"/>
      <c r="AN157" s="16">
        <f t="shared" si="49"/>
        <v>97</v>
      </c>
      <c r="AO157" s="7">
        <f t="shared" si="50"/>
        <v>47.084133410168242</v>
      </c>
      <c r="AP157" s="57" t="s">
        <v>525</v>
      </c>
      <c r="AQ157" s="68" t="s">
        <v>526</v>
      </c>
    </row>
    <row r="158" spans="1:43" ht="13.5">
      <c r="A158" s="185" t="s">
        <v>528</v>
      </c>
      <c r="B158" s="185">
        <f>2^3*5^2*7*13</f>
        <v>18200</v>
      </c>
      <c r="C158" s="196">
        <f>3^5*7*11</f>
        <v>18711</v>
      </c>
      <c r="D158" s="186">
        <f t="shared" si="51"/>
        <v>47.937857192713629</v>
      </c>
      <c r="E158" s="180" t="s">
        <v>320</v>
      </c>
      <c r="F158" s="187" t="s">
        <v>528</v>
      </c>
      <c r="G158" s="182"/>
      <c r="J158" s="126"/>
      <c r="M158" s="126"/>
      <c r="T158" s="67"/>
      <c r="U158" s="13"/>
      <c r="V158" s="13"/>
      <c r="W158" s="12"/>
      <c r="Y158" s="16">
        <v>20</v>
      </c>
      <c r="Z158" s="13">
        <f>$AO158</f>
        <v>47.572051891102632</v>
      </c>
      <c r="AA158" s="19" t="s">
        <v>5</v>
      </c>
      <c r="AB158" s="15" t="s">
        <v>6</v>
      </c>
      <c r="AC158" s="1"/>
      <c r="AD158" s="16">
        <v>25</v>
      </c>
      <c r="AE158" s="13">
        <f>$AO158</f>
        <v>47.572051891102632</v>
      </c>
      <c r="AF158" s="19" t="s">
        <v>5</v>
      </c>
      <c r="AG158" s="15" t="s">
        <v>6</v>
      </c>
      <c r="AI158" s="16">
        <f t="shared" si="46"/>
        <v>98</v>
      </c>
      <c r="AJ158" s="66">
        <f t="shared" si="45"/>
        <v>47.572051891102632</v>
      </c>
      <c r="AK158" s="19" t="str">
        <f t="shared" si="47"/>
        <v>/|)..</v>
      </c>
      <c r="AL158" s="15" t="str">
        <f t="shared" si="48"/>
        <v>\!)''</v>
      </c>
      <c r="AM158" s="19"/>
      <c r="AN158" s="16">
        <f t="shared" si="49"/>
        <v>98</v>
      </c>
      <c r="AO158" s="7">
        <f t="shared" si="50"/>
        <v>47.572051891102632</v>
      </c>
      <c r="AP158" s="19" t="s">
        <v>320</v>
      </c>
      <c r="AQ158" s="15" t="s">
        <v>321</v>
      </c>
    </row>
    <row r="159" spans="1:43" ht="13.5">
      <c r="A159" s="178" t="s">
        <v>173</v>
      </c>
      <c r="B159" s="178">
        <f>2^10</f>
        <v>1024</v>
      </c>
      <c r="C159" s="178">
        <f>13*3^4</f>
        <v>1053</v>
      </c>
      <c r="D159" s="179">
        <f t="shared" si="51"/>
        <v>48.347665230860272</v>
      </c>
      <c r="E159" s="180" t="s">
        <v>169</v>
      </c>
      <c r="F159" s="181" t="s">
        <v>173</v>
      </c>
      <c r="G159" s="182"/>
      <c r="J159" s="126"/>
      <c r="M159" s="126"/>
      <c r="T159" s="67"/>
      <c r="U159" s="13"/>
      <c r="V159" s="13"/>
      <c r="W159" s="12"/>
      <c r="Y159" s="16"/>
      <c r="Z159" s="13"/>
      <c r="AA159" s="13"/>
      <c r="AB159" s="12"/>
      <c r="AC159" s="1"/>
      <c r="AD159" s="16"/>
      <c r="AE159" s="13"/>
      <c r="AF159" s="13"/>
      <c r="AG159" s="22"/>
      <c r="AI159" s="16">
        <f t="shared" si="46"/>
        <v>99</v>
      </c>
      <c r="AJ159" s="66">
        <f t="shared" si="45"/>
        <v>48.059970372037014</v>
      </c>
      <c r="AK159" s="19" t="str">
        <f t="shared" si="47"/>
        <v>/|).</v>
      </c>
      <c r="AL159" s="15" t="str">
        <f t="shared" si="48"/>
        <v>\!)'</v>
      </c>
      <c r="AM159" s="19"/>
      <c r="AN159" s="16">
        <f t="shared" si="49"/>
        <v>99</v>
      </c>
      <c r="AO159" s="7">
        <f t="shared" si="50"/>
        <v>48.059970372037014</v>
      </c>
      <c r="AP159" s="19" t="s">
        <v>169</v>
      </c>
      <c r="AQ159" s="15" t="s">
        <v>170</v>
      </c>
    </row>
    <row r="160" spans="1:43" ht="13.5">
      <c r="A160" s="135" t="s">
        <v>111</v>
      </c>
      <c r="B160" s="135">
        <f>5*7</f>
        <v>35</v>
      </c>
      <c r="C160" s="135">
        <f>2^2*3^2</f>
        <v>36</v>
      </c>
      <c r="D160" s="136">
        <f t="shared" si="51"/>
        <v>48.770381396814919</v>
      </c>
      <c r="E160" s="139" t="s">
        <v>5</v>
      </c>
      <c r="F160" s="163" t="s">
        <v>111</v>
      </c>
      <c r="G160" s="167"/>
      <c r="H160" s="163" t="s">
        <v>111</v>
      </c>
      <c r="I160" s="165"/>
      <c r="J160" s="167"/>
      <c r="K160" s="163" t="s">
        <v>111</v>
      </c>
      <c r="L160" s="165"/>
      <c r="M160" s="167"/>
      <c r="N160" s="163" t="s">
        <v>111</v>
      </c>
      <c r="O160" s="165"/>
      <c r="T160" s="67"/>
      <c r="U160" s="13"/>
      <c r="V160" s="13"/>
      <c r="W160" s="12"/>
      <c r="Y160" s="16"/>
      <c r="Z160" s="13"/>
      <c r="AA160" s="13"/>
      <c r="AB160" s="12"/>
      <c r="AC160" s="1"/>
      <c r="AD160" s="16"/>
      <c r="AE160" s="13"/>
      <c r="AF160" s="13"/>
      <c r="AG160" s="22"/>
      <c r="AI160" s="16">
        <f t="shared" si="46"/>
        <v>100</v>
      </c>
      <c r="AJ160" s="66">
        <f t="shared" si="45"/>
        <v>48.547888852971404</v>
      </c>
      <c r="AK160" s="19" t="str">
        <f t="shared" si="47"/>
        <v>/|)</v>
      </c>
      <c r="AL160" s="15" t="str">
        <f t="shared" si="48"/>
        <v>\!)</v>
      </c>
      <c r="AM160" s="19"/>
      <c r="AN160" s="16">
        <f t="shared" si="49"/>
        <v>100</v>
      </c>
      <c r="AO160" s="7">
        <f t="shared" si="50"/>
        <v>48.547888852971404</v>
      </c>
      <c r="AP160" s="19" t="s">
        <v>5</v>
      </c>
      <c r="AQ160" s="15" t="s">
        <v>6</v>
      </c>
    </row>
    <row r="161" spans="1:43" ht="13.5">
      <c r="A161" s="178" t="s">
        <v>172</v>
      </c>
      <c r="B161" s="178">
        <f>3^5</f>
        <v>243</v>
      </c>
      <c r="C161" s="178">
        <f>2*5^3</f>
        <v>250</v>
      </c>
      <c r="D161" s="179">
        <f t="shared" si="51"/>
        <v>49.166137267567329</v>
      </c>
      <c r="E161" s="180" t="s">
        <v>334</v>
      </c>
      <c r="F161" s="181" t="s">
        <v>172</v>
      </c>
      <c r="G161" s="182"/>
      <c r="J161" s="126"/>
      <c r="M161" s="126"/>
      <c r="T161" s="67"/>
      <c r="U161" s="13"/>
      <c r="V161" s="13"/>
      <c r="W161" s="12"/>
      <c r="Y161" s="16"/>
      <c r="Z161" s="13"/>
      <c r="AA161" s="13"/>
      <c r="AB161" s="12"/>
      <c r="AC161" s="1"/>
      <c r="AD161" s="16"/>
      <c r="AE161" s="13"/>
      <c r="AF161" s="13"/>
      <c r="AG161" s="22"/>
      <c r="AI161" s="16">
        <f t="shared" si="46"/>
        <v>101</v>
      </c>
      <c r="AJ161" s="66">
        <f t="shared" si="45"/>
        <v>49.035807333905787</v>
      </c>
      <c r="AK161" s="19" t="str">
        <f t="shared" si="47"/>
        <v>/|)'</v>
      </c>
      <c r="AL161" s="15" t="str">
        <f t="shared" si="48"/>
        <v>\!).</v>
      </c>
      <c r="AM161" s="19"/>
      <c r="AN161" s="16">
        <f t="shared" si="49"/>
        <v>101</v>
      </c>
      <c r="AO161" s="7">
        <f t="shared" si="50"/>
        <v>49.035807333905787</v>
      </c>
      <c r="AP161" s="19" t="s">
        <v>334</v>
      </c>
      <c r="AQ161" s="15" t="s">
        <v>335</v>
      </c>
    </row>
    <row r="162" spans="1:43" ht="13.5">
      <c r="A162" s="199" t="s">
        <v>531</v>
      </c>
      <c r="B162" s="199">
        <f>2^3*5^3</f>
        <v>1000</v>
      </c>
      <c r="C162" s="199">
        <f>3*7^3</f>
        <v>1029</v>
      </c>
      <c r="D162" s="200">
        <f t="shared" si="51"/>
        <v>49.491578678257611</v>
      </c>
      <c r="E162" s="201" t="s">
        <v>529</v>
      </c>
      <c r="F162" s="130"/>
      <c r="G162" s="126"/>
      <c r="J162" s="126"/>
      <c r="M162" s="126"/>
      <c r="T162" s="67"/>
      <c r="U162" s="13"/>
      <c r="V162" s="13"/>
      <c r="W162" s="12"/>
      <c r="Y162" s="16"/>
      <c r="Z162" s="13"/>
      <c r="AA162" s="13"/>
      <c r="AB162" s="12"/>
      <c r="AC162" s="1"/>
      <c r="AD162" s="16"/>
      <c r="AE162" s="13"/>
      <c r="AF162" s="13"/>
      <c r="AG162" s="22"/>
      <c r="AI162" s="62"/>
      <c r="AJ162" s="66"/>
      <c r="AK162" s="19"/>
      <c r="AL162" s="15"/>
      <c r="AM162" s="19"/>
      <c r="AN162" s="62">
        <f>AN161+(AO162-AO161)/$AN$18</f>
        <v>101.60061393543749</v>
      </c>
      <c r="AO162" s="7">
        <f>(D161+D162)/2</f>
        <v>49.328857972912473</v>
      </c>
      <c r="AP162" s="19" t="s">
        <v>529</v>
      </c>
      <c r="AQ162" s="15" t="s">
        <v>530</v>
      </c>
    </row>
    <row r="163" spans="1:43" ht="13.5">
      <c r="A163" s="141" t="s">
        <v>174</v>
      </c>
      <c r="B163" s="141">
        <f>3^2*19</f>
        <v>171</v>
      </c>
      <c r="C163" s="142">
        <f>2^4*11</f>
        <v>176</v>
      </c>
      <c r="D163" s="143">
        <f t="shared" si="51"/>
        <v>49.894924501679178</v>
      </c>
      <c r="E163" s="144" t="s">
        <v>86</v>
      </c>
      <c r="F163" s="170" t="s">
        <v>174</v>
      </c>
      <c r="G163" s="171"/>
      <c r="H163" s="170" t="s">
        <v>174</v>
      </c>
      <c r="I163" s="172"/>
      <c r="J163" s="171"/>
      <c r="K163" s="170" t="s">
        <v>174</v>
      </c>
      <c r="L163" s="172"/>
      <c r="M163" s="171"/>
      <c r="T163" s="67"/>
      <c r="U163" s="13"/>
      <c r="V163" s="13"/>
      <c r="W163" s="12"/>
      <c r="Y163" s="16">
        <v>21</v>
      </c>
      <c r="Z163" s="13">
        <f>$AO163</f>
        <v>49.523725814840176</v>
      </c>
      <c r="AA163" s="19" t="s">
        <v>86</v>
      </c>
      <c r="AB163" s="15" t="s">
        <v>87</v>
      </c>
      <c r="AC163" s="1"/>
      <c r="AD163" s="16">
        <v>25.8</v>
      </c>
      <c r="AE163" s="13">
        <f>$AO163</f>
        <v>49.523725814840176</v>
      </c>
      <c r="AF163" s="19" t="s">
        <v>86</v>
      </c>
      <c r="AG163" s="15" t="s">
        <v>87</v>
      </c>
      <c r="AI163" s="16">
        <f t="shared" ref="AI163:AI171" si="52">AN163</f>
        <v>102</v>
      </c>
      <c r="AJ163" s="66">
        <f t="shared" si="45"/>
        <v>49.523725814840176</v>
      </c>
      <c r="AK163" s="19" t="str">
        <f t="shared" ref="AK163:AL166" si="53">AP163</f>
        <v>(|~</v>
      </c>
      <c r="AL163" s="15" t="str">
        <f t="shared" si="53"/>
        <v>(!~</v>
      </c>
      <c r="AM163" s="19"/>
      <c r="AN163" s="16">
        <f>AN161+1</f>
        <v>102</v>
      </c>
      <c r="AO163" s="7">
        <f>(AN163+AN161)/2*AN$18</f>
        <v>49.523725814840176</v>
      </c>
      <c r="AP163" s="19" t="s">
        <v>86</v>
      </c>
      <c r="AQ163" s="15" t="s">
        <v>87</v>
      </c>
    </row>
    <row r="164" spans="1:43" ht="13.5">
      <c r="A164" s="185" t="s">
        <v>532</v>
      </c>
      <c r="B164" s="197">
        <f>2^25</f>
        <v>33554432</v>
      </c>
      <c r="C164" s="197">
        <f>3^12*5*13</f>
        <v>34543665</v>
      </c>
      <c r="D164" s="186">
        <f t="shared" si="51"/>
        <v>50.301386018794425</v>
      </c>
      <c r="E164" s="183" t="s">
        <v>332</v>
      </c>
      <c r="F164" s="187" t="s">
        <v>532</v>
      </c>
      <c r="G164" s="184"/>
      <c r="J164" s="127"/>
      <c r="M164" s="127"/>
      <c r="T164" s="67"/>
      <c r="U164" s="13"/>
      <c r="V164" s="13"/>
      <c r="W164" s="12"/>
      <c r="Y164" s="16"/>
      <c r="Z164" s="13"/>
      <c r="AA164" s="13"/>
      <c r="AB164" s="12"/>
      <c r="AC164" s="1"/>
      <c r="AD164" s="16">
        <v>26</v>
      </c>
      <c r="AE164" s="13">
        <f>$AO164</f>
        <v>50.011644295774559</v>
      </c>
      <c r="AF164" s="4" t="s">
        <v>57</v>
      </c>
      <c r="AG164" s="15" t="s">
        <v>58</v>
      </c>
      <c r="AI164" s="16">
        <f t="shared" si="52"/>
        <v>103</v>
      </c>
      <c r="AJ164" s="66">
        <f t="shared" si="45"/>
        <v>50.011644295774559</v>
      </c>
      <c r="AK164" s="19" t="str">
        <f t="shared" si="53"/>
        <v>'/|).</v>
      </c>
      <c r="AL164" s="15" t="str">
        <f t="shared" si="53"/>
        <v>.\!)'</v>
      </c>
      <c r="AM164" s="19"/>
      <c r="AN164" s="16">
        <f>AN163+1</f>
        <v>103</v>
      </c>
      <c r="AO164" s="7">
        <f>(AN164+AN163)/2*AN$18</f>
        <v>50.011644295774559</v>
      </c>
      <c r="AP164" s="4" t="s">
        <v>332</v>
      </c>
      <c r="AQ164" s="15" t="s">
        <v>333</v>
      </c>
    </row>
    <row r="165" spans="1:43" ht="13.5">
      <c r="A165" s="147" t="s">
        <v>167</v>
      </c>
      <c r="B165" s="147">
        <f>2^13*7</f>
        <v>57344</v>
      </c>
      <c r="C165" s="147">
        <f>3^10</f>
        <v>59049</v>
      </c>
      <c r="D165" s="148">
        <f t="shared" si="51"/>
        <v>50.724102184749405</v>
      </c>
      <c r="E165" s="151" t="s">
        <v>57</v>
      </c>
      <c r="F165" s="174" t="s">
        <v>167</v>
      </c>
      <c r="G165" s="177"/>
      <c r="H165" s="174" t="s">
        <v>167</v>
      </c>
      <c r="I165" s="176"/>
      <c r="J165" s="177"/>
      <c r="M165" s="127"/>
      <c r="T165" s="67"/>
      <c r="U165" s="13"/>
      <c r="V165" s="13"/>
      <c r="W165" s="12"/>
      <c r="Y165" s="16"/>
      <c r="Z165" s="13"/>
      <c r="AA165" s="13"/>
      <c r="AB165" s="12"/>
      <c r="AC165" s="1"/>
      <c r="AD165" s="16"/>
      <c r="AE165" s="13"/>
      <c r="AF165" s="13"/>
      <c r="AG165" s="22"/>
      <c r="AI165" s="16">
        <f t="shared" si="52"/>
        <v>104</v>
      </c>
      <c r="AJ165" s="66">
        <f t="shared" si="45"/>
        <v>50.499562776708949</v>
      </c>
      <c r="AK165" s="19" t="str">
        <f t="shared" si="53"/>
        <v>'/|)</v>
      </c>
      <c r="AL165" s="15" t="str">
        <f t="shared" si="53"/>
        <v>.\!)</v>
      </c>
      <c r="AM165" s="19"/>
      <c r="AN165" s="16">
        <f>AN164+1</f>
        <v>104</v>
      </c>
      <c r="AO165" s="7">
        <f>(AN165+AN164)/2*AN$18</f>
        <v>50.499562776708949</v>
      </c>
      <c r="AP165" s="4" t="s">
        <v>57</v>
      </c>
      <c r="AQ165" s="15" t="s">
        <v>58</v>
      </c>
    </row>
    <row r="166" spans="1:43" ht="13.5">
      <c r="A166" s="185" t="s">
        <v>337</v>
      </c>
      <c r="B166" s="185">
        <f>2^14</f>
        <v>16384</v>
      </c>
      <c r="C166" s="185">
        <f>3^3*5^4</f>
        <v>16875</v>
      </c>
      <c r="D166" s="186">
        <f t="shared" si="51"/>
        <v>51.119858055501524</v>
      </c>
      <c r="E166" s="183" t="s">
        <v>338</v>
      </c>
      <c r="F166" s="187" t="s">
        <v>337</v>
      </c>
      <c r="G166" s="184"/>
      <c r="J166" s="127"/>
      <c r="M166" s="127"/>
      <c r="T166" s="67"/>
      <c r="U166" s="13"/>
      <c r="V166" s="13"/>
      <c r="W166" s="12"/>
      <c r="Y166" s="16"/>
      <c r="Z166" s="13"/>
      <c r="AA166" s="13"/>
      <c r="AB166" s="12"/>
      <c r="AC166" s="1"/>
      <c r="AD166" s="16"/>
      <c r="AE166" s="13"/>
      <c r="AF166" s="13"/>
      <c r="AG166" s="22"/>
      <c r="AI166" s="73">
        <f>AN166</f>
        <v>105</v>
      </c>
      <c r="AJ166" s="74">
        <f t="shared" si="45"/>
        <v>50.987481257643331</v>
      </c>
      <c r="AK166" s="19" t="str">
        <f t="shared" si="53"/>
        <v>'/|)'</v>
      </c>
      <c r="AL166" s="15" t="str">
        <f t="shared" si="53"/>
        <v>.\!).</v>
      </c>
      <c r="AM166" s="19"/>
      <c r="AN166" s="16">
        <f>AN165+1</f>
        <v>105</v>
      </c>
      <c r="AO166" s="7">
        <f>(AN166+AN165)/2*AN$18</f>
        <v>50.987481257643331</v>
      </c>
      <c r="AP166" s="4" t="s">
        <v>338</v>
      </c>
      <c r="AQ166" s="15" t="s">
        <v>339</v>
      </c>
    </row>
    <row r="167" spans="1:43" ht="13.5">
      <c r="A167" s="147" t="s">
        <v>197</v>
      </c>
      <c r="B167" s="147">
        <f>3^7*5</f>
        <v>10935</v>
      </c>
      <c r="C167" s="147">
        <f>2^10*11</f>
        <v>11264</v>
      </c>
      <c r="D167" s="148">
        <f t="shared" si="51"/>
        <v>51.319222442209885</v>
      </c>
      <c r="E167" s="149" t="s">
        <v>198</v>
      </c>
      <c r="F167" s="174" t="s">
        <v>197</v>
      </c>
      <c r="G167" s="175"/>
      <c r="H167" s="174" t="s">
        <v>197</v>
      </c>
      <c r="I167" s="176"/>
      <c r="J167" s="175"/>
      <c r="M167" s="126"/>
      <c r="T167" s="67">
        <v>10</v>
      </c>
      <c r="U167" s="13">
        <f>$AO167</f>
        <v>51.219540248855708</v>
      </c>
      <c r="V167" s="19" t="str">
        <f>IF($N$6=7,"(/|","/|\")</f>
        <v>/|\</v>
      </c>
      <c r="W167" s="19" t="str">
        <f>IF($N$6=7,"(\!","\!/")</f>
        <v>\!/</v>
      </c>
      <c r="Y167" s="16"/>
      <c r="Z167" s="13"/>
      <c r="AA167" s="13"/>
      <c r="AB167" s="12"/>
      <c r="AC167" s="1"/>
      <c r="AD167" s="16">
        <v>26.6</v>
      </c>
      <c r="AE167" s="13">
        <f>$AO167</f>
        <v>51.219540248855708</v>
      </c>
      <c r="AF167" s="19" t="s">
        <v>198</v>
      </c>
      <c r="AG167" s="51" t="s">
        <v>199</v>
      </c>
      <c r="AI167" s="75">
        <f>AN167</f>
        <v>105.47561016907574</v>
      </c>
      <c r="AJ167" s="74">
        <f t="shared" si="45"/>
        <v>51.219540248855708</v>
      </c>
      <c r="AK167" s="19" t="str">
        <f>AP167</f>
        <v>./|\</v>
      </c>
      <c r="AL167" s="15" t="str">
        <f>AQ167</f>
        <v>'\!/</v>
      </c>
      <c r="AM167" s="19"/>
      <c r="AN167" s="62">
        <f>AN166+(AO167-AO166)/$AN$18</f>
        <v>105.47561016907574</v>
      </c>
      <c r="AO167" s="7">
        <f>(D166+D167)/2</f>
        <v>51.219540248855708</v>
      </c>
      <c r="AP167" s="19" t="s">
        <v>198</v>
      </c>
      <c r="AQ167" s="51" t="s">
        <v>199</v>
      </c>
    </row>
    <row r="168" spans="1:43" ht="13.5">
      <c r="A168" s="178" t="s">
        <v>191</v>
      </c>
      <c r="B168" s="178">
        <f>3*11</f>
        <v>33</v>
      </c>
      <c r="C168" s="178">
        <f>2*17</f>
        <v>34</v>
      </c>
      <c r="D168" s="179">
        <f t="shared" si="51"/>
        <v>51.68246627026312</v>
      </c>
      <c r="E168" s="180" t="s">
        <v>189</v>
      </c>
      <c r="F168" s="181" t="s">
        <v>191</v>
      </c>
      <c r="G168" s="182"/>
      <c r="J168" s="126"/>
      <c r="M168" s="126"/>
      <c r="T168" s="67"/>
      <c r="U168" s="13"/>
      <c r="V168" s="13"/>
      <c r="W168" s="12"/>
      <c r="Y168" s="16"/>
      <c r="Z168" s="13"/>
      <c r="AA168" s="13"/>
      <c r="AB168" s="12"/>
      <c r="AC168" s="1"/>
      <c r="AD168" s="16"/>
      <c r="AE168" s="13"/>
      <c r="AF168" s="13"/>
      <c r="AG168" s="22"/>
      <c r="AI168" s="16">
        <f t="shared" si="52"/>
        <v>106</v>
      </c>
      <c r="AJ168" s="66">
        <f t="shared" si="45"/>
        <v>51.475399738577714</v>
      </c>
      <c r="AK168" s="19" t="str">
        <f t="shared" ref="AK168:AL170" si="54">AP168</f>
        <v>./|\'</v>
      </c>
      <c r="AL168" s="15" t="str">
        <f t="shared" si="54"/>
        <v>'\!/.</v>
      </c>
      <c r="AM168" s="19"/>
      <c r="AN168" s="16">
        <f>AN166+1</f>
        <v>106</v>
      </c>
      <c r="AO168" s="7">
        <f>(AN168+AN166)/2*AN$18</f>
        <v>51.475399738577714</v>
      </c>
      <c r="AP168" s="19" t="s">
        <v>189</v>
      </c>
      <c r="AQ168" s="51" t="s">
        <v>190</v>
      </c>
    </row>
    <row r="169" spans="1:43" ht="13.5">
      <c r="A169" s="185" t="s">
        <v>194</v>
      </c>
      <c r="B169" s="185">
        <f>3^3*23</f>
        <v>621</v>
      </c>
      <c r="C169" s="185">
        <f>2^7*5</f>
        <v>640</v>
      </c>
      <c r="D169" s="186">
        <f t="shared" si="51"/>
        <v>52.174364000256972</v>
      </c>
      <c r="E169" s="180" t="s">
        <v>195</v>
      </c>
      <c r="F169" s="187" t="s">
        <v>194</v>
      </c>
      <c r="G169" s="182"/>
      <c r="J169" s="126"/>
      <c r="M169" s="126"/>
      <c r="T169" s="67"/>
      <c r="U169" s="13"/>
      <c r="V169" s="13"/>
      <c r="W169" s="12"/>
      <c r="Y169" s="16">
        <v>22</v>
      </c>
      <c r="Z169" s="13">
        <f>$AO169</f>
        <v>51.963318219512104</v>
      </c>
      <c r="AA169" s="4" t="s">
        <v>22</v>
      </c>
      <c r="AB169" s="51" t="s">
        <v>23</v>
      </c>
      <c r="AC169" s="1"/>
      <c r="AD169" s="16">
        <v>27</v>
      </c>
      <c r="AE169" s="13">
        <f>$AO169</f>
        <v>51.963318219512104</v>
      </c>
      <c r="AF169" s="4" t="s">
        <v>22</v>
      </c>
      <c r="AG169" s="51" t="s">
        <v>23</v>
      </c>
      <c r="AI169" s="16">
        <f t="shared" si="52"/>
        <v>107</v>
      </c>
      <c r="AJ169" s="66">
        <f t="shared" si="45"/>
        <v>51.963318219512104</v>
      </c>
      <c r="AK169" s="19" t="str">
        <f t="shared" si="54"/>
        <v>/|\..</v>
      </c>
      <c r="AL169" s="15" t="str">
        <f t="shared" si="54"/>
        <v>\!/''</v>
      </c>
      <c r="AM169" s="19"/>
      <c r="AN169" s="16">
        <f t="shared" ref="AN169:AN176" si="55">AN168+1</f>
        <v>107</v>
      </c>
      <c r="AO169" s="7">
        <f>(AN169+AN168)/2*AN$18</f>
        <v>51.963318219512104</v>
      </c>
      <c r="AP169" s="19" t="s">
        <v>195</v>
      </c>
      <c r="AQ169" s="15" t="s">
        <v>196</v>
      </c>
    </row>
    <row r="170" spans="1:43" ht="13.5">
      <c r="A170" s="185" t="s">
        <v>533</v>
      </c>
      <c r="B170" s="185">
        <f>2*5^2*11</f>
        <v>550</v>
      </c>
      <c r="C170" s="185">
        <f>3^4*7</f>
        <v>567</v>
      </c>
      <c r="D170" s="186">
        <f t="shared" si="51"/>
        <v>52.70053983624841</v>
      </c>
      <c r="E170" s="180" t="s">
        <v>322</v>
      </c>
      <c r="F170" s="187" t="s">
        <v>533</v>
      </c>
      <c r="G170" s="182"/>
      <c r="J170" s="126"/>
      <c r="M170" s="126"/>
      <c r="T170" s="67"/>
      <c r="U170" s="13"/>
      <c r="V170" s="13"/>
      <c r="W170" s="12"/>
      <c r="Y170" s="16"/>
      <c r="Z170" s="13"/>
      <c r="AA170" s="13"/>
      <c r="AB170" s="12"/>
      <c r="AC170" s="1"/>
      <c r="AD170" s="16"/>
      <c r="AE170" s="13"/>
      <c r="AF170" s="13"/>
      <c r="AG170" s="22"/>
      <c r="AI170" s="16">
        <f t="shared" si="52"/>
        <v>108</v>
      </c>
      <c r="AJ170" s="66">
        <f t="shared" si="45"/>
        <v>52.451236700446486</v>
      </c>
      <c r="AK170" s="19" t="str">
        <f t="shared" si="54"/>
        <v>/|\.</v>
      </c>
      <c r="AL170" s="15" t="str">
        <f t="shared" si="54"/>
        <v>\!/'</v>
      </c>
      <c r="AM170" s="19"/>
      <c r="AN170" s="16">
        <f t="shared" si="55"/>
        <v>108</v>
      </c>
      <c r="AO170" s="7">
        <f>(AN170+AN169)/2*AN$18</f>
        <v>52.451236700446486</v>
      </c>
      <c r="AP170" s="19" t="s">
        <v>322</v>
      </c>
      <c r="AQ170" s="15" t="s">
        <v>323</v>
      </c>
    </row>
    <row r="171" spans="1:43" ht="13.5">
      <c r="A171" s="199" t="s">
        <v>536</v>
      </c>
      <c r="B171" s="211">
        <f>2^29</f>
        <v>536870912</v>
      </c>
      <c r="C171" s="211">
        <f>3^11*5^5</f>
        <v>553584375</v>
      </c>
      <c r="D171" s="200">
        <f t="shared" si="51"/>
        <v>53.073578843435683</v>
      </c>
      <c r="E171" s="201" t="s">
        <v>534</v>
      </c>
      <c r="F171" s="133"/>
      <c r="G171" s="129"/>
      <c r="J171" s="129"/>
      <c r="M171" s="129"/>
      <c r="T171" s="67"/>
      <c r="U171" s="13"/>
      <c r="V171" s="13"/>
      <c r="W171" s="12"/>
      <c r="Y171" s="16"/>
      <c r="Z171" s="13"/>
      <c r="AA171" s="13"/>
      <c r="AB171" s="12"/>
      <c r="AC171" s="1"/>
      <c r="AD171" s="16"/>
      <c r="AE171" s="13"/>
      <c r="AF171" s="13"/>
      <c r="AG171" s="22"/>
      <c r="AI171" s="16">
        <f t="shared" si="52"/>
        <v>109</v>
      </c>
      <c r="AJ171" s="66">
        <f t="shared" si="45"/>
        <v>52.939155181380876</v>
      </c>
      <c r="AK171" s="19" t="str">
        <f>AP172</f>
        <v>/|\</v>
      </c>
      <c r="AL171" s="15" t="str">
        <f>AQ172</f>
        <v>\!/</v>
      </c>
      <c r="AM171" s="19"/>
      <c r="AN171" s="16">
        <f t="shared" si="55"/>
        <v>109</v>
      </c>
      <c r="AO171" s="7">
        <f>(AN171+AN170)/2*AN$18</f>
        <v>52.939155181380876</v>
      </c>
      <c r="AP171" s="57" t="s">
        <v>534</v>
      </c>
      <c r="AQ171" s="70" t="s">
        <v>535</v>
      </c>
    </row>
    <row r="172" spans="1:43" ht="13.5">
      <c r="A172" s="135" t="s">
        <v>112</v>
      </c>
      <c r="B172" s="135">
        <f>2^5</f>
        <v>32</v>
      </c>
      <c r="C172" s="135">
        <f>11*3</f>
        <v>33</v>
      </c>
      <c r="D172" s="136">
        <f t="shared" si="51"/>
        <v>53.272943230144122</v>
      </c>
      <c r="E172" s="137" t="s">
        <v>22</v>
      </c>
      <c r="F172" s="163" t="s">
        <v>112</v>
      </c>
      <c r="G172" s="169"/>
      <c r="H172" s="163" t="s">
        <v>112</v>
      </c>
      <c r="I172" s="165"/>
      <c r="J172" s="169"/>
      <c r="K172" s="163" t="s">
        <v>112</v>
      </c>
      <c r="L172" s="165"/>
      <c r="M172" s="169"/>
      <c r="N172" s="163" t="s">
        <v>112</v>
      </c>
      <c r="O172" s="165"/>
      <c r="T172" s="67"/>
      <c r="U172" s="13"/>
      <c r="V172" s="13"/>
      <c r="W172" s="12"/>
      <c r="Y172" s="16"/>
      <c r="Z172" s="13"/>
      <c r="AA172" s="13"/>
      <c r="AB172" s="12"/>
      <c r="AC172" s="1"/>
      <c r="AD172" s="16"/>
      <c r="AE172" s="13"/>
      <c r="AF172" s="13"/>
      <c r="AG172" s="22"/>
      <c r="AI172" s="62"/>
      <c r="AJ172" s="66"/>
      <c r="AK172" s="19"/>
      <c r="AL172" s="15"/>
      <c r="AM172" s="19"/>
      <c r="AN172" s="62">
        <f>AN171+(AO172-AO171)/$AN$18</f>
        <v>109.47980526370041</v>
      </c>
      <c r="AO172" s="7">
        <f>(D171+D172)/2</f>
        <v>53.173261036789903</v>
      </c>
      <c r="AP172" s="4" t="s">
        <v>22</v>
      </c>
      <c r="AQ172" s="51" t="s">
        <v>23</v>
      </c>
    </row>
    <row r="173" spans="1:43" ht="13.5">
      <c r="A173" s="191" t="s">
        <v>375</v>
      </c>
      <c r="B173" s="191">
        <f>2^14*11</f>
        <v>180224</v>
      </c>
      <c r="C173" s="191">
        <f>3^7*5*17</f>
        <v>185895</v>
      </c>
      <c r="D173" s="186">
        <f t="shared" si="51"/>
        <v>53.636187058197457</v>
      </c>
      <c r="E173" s="180" t="s">
        <v>324</v>
      </c>
      <c r="F173" s="192" t="s">
        <v>375</v>
      </c>
      <c r="G173" s="182"/>
      <c r="J173" s="126"/>
      <c r="M173" s="126"/>
      <c r="T173" s="67"/>
      <c r="U173" s="13"/>
      <c r="V173" s="13"/>
      <c r="W173" s="12"/>
      <c r="Y173" s="16"/>
      <c r="Z173" s="13"/>
      <c r="AA173" s="13"/>
      <c r="AB173" s="12"/>
      <c r="AC173" s="1"/>
      <c r="AD173" s="16"/>
      <c r="AE173" s="13"/>
      <c r="AF173" s="13"/>
      <c r="AG173" s="22"/>
      <c r="AI173" s="16">
        <f t="shared" ref="AI173:AI189" si="56">AN173</f>
        <v>110</v>
      </c>
      <c r="AJ173" s="66">
        <f t="shared" si="45"/>
        <v>53.427073662315259</v>
      </c>
      <c r="AK173" s="19" t="str">
        <f t="shared" ref="AK173:AL176" si="57">AP173</f>
        <v>/|\'</v>
      </c>
      <c r="AL173" s="15" t="str">
        <f t="shared" si="57"/>
        <v>\!/.</v>
      </c>
      <c r="AM173" s="19"/>
      <c r="AN173" s="16">
        <f>AN171+1</f>
        <v>110</v>
      </c>
      <c r="AO173" s="7">
        <f>(AN173+AN171)/2*AN$18</f>
        <v>53.427073662315259</v>
      </c>
      <c r="AP173" s="19" t="s">
        <v>324</v>
      </c>
      <c r="AQ173" s="15" t="s">
        <v>325</v>
      </c>
    </row>
    <row r="174" spans="1:43" ht="13.5">
      <c r="A174" s="185" t="s">
        <v>376</v>
      </c>
      <c r="B174" s="185">
        <f>3^2*7</f>
        <v>63</v>
      </c>
      <c r="C174" s="185">
        <f>5*13</f>
        <v>65</v>
      </c>
      <c r="D174" s="186">
        <f t="shared" si="51"/>
        <v>54.105467434245838</v>
      </c>
      <c r="E174" s="180" t="s">
        <v>537</v>
      </c>
      <c r="F174" s="187" t="s">
        <v>376</v>
      </c>
      <c r="G174" s="182"/>
      <c r="J174" s="126"/>
      <c r="M174" s="126"/>
      <c r="T174" s="67"/>
      <c r="U174" s="13"/>
      <c r="V174" s="13"/>
      <c r="W174" s="12"/>
      <c r="Y174" s="16">
        <v>23</v>
      </c>
      <c r="Z174" s="13">
        <f>$AO174</f>
        <v>53.914992143249648</v>
      </c>
      <c r="AA174" s="4" t="s">
        <v>64</v>
      </c>
      <c r="AB174" s="15" t="s">
        <v>65</v>
      </c>
      <c r="AD174" s="16">
        <v>28</v>
      </c>
      <c r="AE174" s="13">
        <f>$AO174</f>
        <v>53.914992143249648</v>
      </c>
      <c r="AF174" s="4" t="s">
        <v>64</v>
      </c>
      <c r="AG174" s="51" t="s">
        <v>65</v>
      </c>
      <c r="AI174" s="16">
        <f t="shared" si="56"/>
        <v>111</v>
      </c>
      <c r="AJ174" s="66">
        <f t="shared" si="45"/>
        <v>53.914992143249648</v>
      </c>
      <c r="AK174" s="19" t="str">
        <f t="shared" si="57"/>
        <v>(/|.</v>
      </c>
      <c r="AL174" s="15" t="str">
        <f t="shared" si="57"/>
        <v>(\!'</v>
      </c>
      <c r="AM174" s="19"/>
      <c r="AN174" s="16">
        <f t="shared" si="55"/>
        <v>111</v>
      </c>
      <c r="AO174" s="7">
        <f>(AN174+AN173)/2*AN$18</f>
        <v>53.914992143249648</v>
      </c>
      <c r="AP174" s="19" t="s">
        <v>537</v>
      </c>
      <c r="AQ174" s="15" t="s">
        <v>538</v>
      </c>
    </row>
    <row r="175" spans="1:43" ht="13.5">
      <c r="A175" s="141" t="s">
        <v>113</v>
      </c>
      <c r="B175" s="141">
        <f>3^4*7^2</f>
        <v>3969</v>
      </c>
      <c r="C175" s="141">
        <f>2^12</f>
        <v>4096</v>
      </c>
      <c r="D175" s="143">
        <f t="shared" si="51"/>
        <v>54.528183600200641</v>
      </c>
      <c r="E175" s="145" t="s">
        <v>64</v>
      </c>
      <c r="F175" s="170" t="s">
        <v>113</v>
      </c>
      <c r="G175" s="173"/>
      <c r="H175" s="170" t="s">
        <v>113</v>
      </c>
      <c r="I175" s="172"/>
      <c r="J175" s="173"/>
      <c r="K175" s="170" t="s">
        <v>113</v>
      </c>
      <c r="L175" s="172"/>
      <c r="M175" s="173"/>
      <c r="T175" s="67"/>
      <c r="U175" s="13"/>
      <c r="V175" s="19"/>
      <c r="W175" s="12"/>
      <c r="Y175" s="16"/>
      <c r="Z175" s="13"/>
      <c r="AA175" s="4"/>
      <c r="AB175" s="12"/>
      <c r="AD175" s="16"/>
      <c r="AE175" s="13"/>
      <c r="AF175" s="4"/>
      <c r="AG175" s="51"/>
      <c r="AI175" s="73">
        <f t="shared" si="56"/>
        <v>112</v>
      </c>
      <c r="AJ175" s="74">
        <f t="shared" si="45"/>
        <v>54.402910624184031</v>
      </c>
      <c r="AK175" s="57" t="str">
        <f t="shared" si="57"/>
        <v>(/|</v>
      </c>
      <c r="AL175" s="68" t="str">
        <f t="shared" si="57"/>
        <v>(\!</v>
      </c>
      <c r="AM175" s="57"/>
      <c r="AN175" s="16">
        <f t="shared" si="55"/>
        <v>112</v>
      </c>
      <c r="AO175" s="7">
        <f>(AN175+AN174)/2*AN$18</f>
        <v>54.402910624184031</v>
      </c>
      <c r="AP175" s="4" t="s">
        <v>64</v>
      </c>
      <c r="AQ175" s="51" t="s">
        <v>65</v>
      </c>
    </row>
    <row r="176" spans="1:43" ht="13.5">
      <c r="A176" s="191" t="s">
        <v>539</v>
      </c>
      <c r="B176" s="191">
        <v>31</v>
      </c>
      <c r="C176" s="191">
        <v>32</v>
      </c>
      <c r="D176" s="186">
        <f t="shared" si="51"/>
        <v>54.964427535749699</v>
      </c>
      <c r="E176" s="180" t="s">
        <v>215</v>
      </c>
      <c r="F176" s="192" t="s">
        <v>539</v>
      </c>
      <c r="G176" s="182"/>
      <c r="J176" s="126"/>
      <c r="M176" s="126"/>
      <c r="T176" s="67"/>
      <c r="U176" s="13"/>
      <c r="V176" s="13"/>
      <c r="W176" s="12"/>
      <c r="Y176" s="16"/>
      <c r="Z176" s="13"/>
      <c r="AA176" s="13"/>
      <c r="AB176" s="12"/>
      <c r="AD176" s="16"/>
      <c r="AE176" s="13"/>
      <c r="AF176" s="13"/>
      <c r="AG176" s="22"/>
      <c r="AI176" s="16">
        <f>AN176</f>
        <v>113</v>
      </c>
      <c r="AJ176" s="66">
        <f t="shared" si="45"/>
        <v>54.890829105118421</v>
      </c>
      <c r="AK176" s="19" t="str">
        <f t="shared" si="57"/>
        <v>(/|'</v>
      </c>
      <c r="AL176" s="15" t="str">
        <f t="shared" si="57"/>
        <v>(\!.</v>
      </c>
      <c r="AM176" s="19"/>
      <c r="AN176" s="16">
        <f t="shared" si="55"/>
        <v>113</v>
      </c>
      <c r="AO176" s="7">
        <f>(AN176+AN175)/2*AN$18</f>
        <v>54.890829105118421</v>
      </c>
      <c r="AP176" s="19" t="s">
        <v>215</v>
      </c>
      <c r="AQ176" s="15" t="s">
        <v>216</v>
      </c>
    </row>
    <row r="177" spans="1:43" ht="13.5">
      <c r="A177" s="155" t="s">
        <v>379</v>
      </c>
      <c r="B177" s="155">
        <f>2^20</f>
        <v>1048576</v>
      </c>
      <c r="C177" s="155">
        <f>3^9*5*11</f>
        <v>1082565</v>
      </c>
      <c r="D177" s="152">
        <f t="shared" si="51"/>
        <v>55.226664018078296</v>
      </c>
      <c r="E177" s="151" t="s">
        <v>347</v>
      </c>
      <c r="F177" s="174" t="s">
        <v>379</v>
      </c>
      <c r="G177" s="177"/>
      <c r="H177" s="174" t="s">
        <v>379</v>
      </c>
      <c r="I177" s="176"/>
      <c r="J177" s="177"/>
      <c r="M177" s="127"/>
      <c r="T177" s="67"/>
      <c r="U177" s="13"/>
      <c r="V177" s="13"/>
      <c r="W177" s="12"/>
      <c r="Y177" s="16"/>
      <c r="Z177" s="13"/>
      <c r="AA177" s="13"/>
      <c r="AB177" s="12"/>
      <c r="AD177" s="16">
        <v>28.6</v>
      </c>
      <c r="AE177" s="13">
        <f>$AO177</f>
        <v>55.095545776913994</v>
      </c>
      <c r="AF177" s="4" t="s">
        <v>347</v>
      </c>
      <c r="AG177" s="15" t="s">
        <v>390</v>
      </c>
      <c r="AI177" s="62">
        <f>AN177</f>
        <v>113.41957146489621</v>
      </c>
      <c r="AJ177" s="66">
        <f t="shared" si="45"/>
        <v>55.095545776913994</v>
      </c>
      <c r="AK177" s="19" t="str">
        <f t="shared" ref="AK177:AL184" si="58">AP177</f>
        <v>'/|\</v>
      </c>
      <c r="AL177" s="15" t="str">
        <f t="shared" si="58"/>
        <v>.\!/</v>
      </c>
      <c r="AM177" s="19"/>
      <c r="AN177" s="62">
        <f>AN176+(AO177-AO176)/$AN$18</f>
        <v>113.41957146489621</v>
      </c>
      <c r="AO177" s="7">
        <f>(D176+D177)/2</f>
        <v>55.095545776913994</v>
      </c>
      <c r="AP177" s="4" t="s">
        <v>347</v>
      </c>
      <c r="AQ177" s="15" t="s">
        <v>390</v>
      </c>
    </row>
    <row r="178" spans="1:43" ht="13.5">
      <c r="A178" s="185" t="s">
        <v>542</v>
      </c>
      <c r="B178" s="185">
        <f>2^8*7*13</f>
        <v>23296</v>
      </c>
      <c r="C178" s="185">
        <f>3^7*11</f>
        <v>24057</v>
      </c>
      <c r="D178" s="186">
        <f t="shared" si="51"/>
        <v>55.649380184033184</v>
      </c>
      <c r="E178" s="183" t="s">
        <v>540</v>
      </c>
      <c r="F178" s="187" t="s">
        <v>542</v>
      </c>
      <c r="G178" s="184"/>
      <c r="J178" s="127"/>
      <c r="M178" s="127"/>
      <c r="T178" s="67"/>
      <c r="U178" s="13"/>
      <c r="V178" s="13"/>
      <c r="W178" s="12"/>
      <c r="Y178" s="16"/>
      <c r="Z178" s="13"/>
      <c r="AA178" s="13"/>
      <c r="AB178" s="12"/>
      <c r="AD178" s="16"/>
      <c r="AE178" s="13"/>
      <c r="AF178" s="13"/>
      <c r="AG178" s="22"/>
      <c r="AI178" s="16">
        <f t="shared" si="56"/>
        <v>114</v>
      </c>
      <c r="AJ178" s="66">
        <f t="shared" si="45"/>
        <v>55.378747586052803</v>
      </c>
      <c r="AK178" s="19" t="str">
        <f t="shared" si="58"/>
        <v>'/|\'</v>
      </c>
      <c r="AL178" s="15" t="str">
        <f t="shared" si="58"/>
        <v>.\!/.</v>
      </c>
      <c r="AM178" s="19"/>
      <c r="AN178" s="16">
        <f>AN176+1</f>
        <v>114</v>
      </c>
      <c r="AO178" s="7">
        <f>(AN178+AN176)/2*AN$18</f>
        <v>55.378747586052803</v>
      </c>
      <c r="AP178" s="4" t="s">
        <v>540</v>
      </c>
      <c r="AQ178" s="15" t="s">
        <v>541</v>
      </c>
    </row>
    <row r="179" spans="1:43" ht="13.5">
      <c r="A179" s="185" t="s">
        <v>545</v>
      </c>
      <c r="B179" s="185">
        <f>2^6*3^2</f>
        <v>576</v>
      </c>
      <c r="C179" s="185">
        <f>5*7*17</f>
        <v>595</v>
      </c>
      <c r="D179" s="186">
        <f t="shared" si="51"/>
        <v>56.185028103592295</v>
      </c>
      <c r="E179" s="180" t="s">
        <v>543</v>
      </c>
      <c r="F179" s="187" t="s">
        <v>545</v>
      </c>
      <c r="G179" s="182"/>
      <c r="J179" s="126"/>
      <c r="M179" s="126"/>
      <c r="T179" s="67"/>
      <c r="U179" s="13"/>
      <c r="V179" s="13"/>
      <c r="W179" s="12"/>
      <c r="Y179" s="67">
        <v>23.5</v>
      </c>
      <c r="Z179" s="13">
        <f>$AO179</f>
        <v>55.866666066987193</v>
      </c>
      <c r="AA179" s="19" t="s">
        <v>546</v>
      </c>
      <c r="AB179" s="15" t="s">
        <v>547</v>
      </c>
      <c r="AD179" s="16">
        <v>29</v>
      </c>
      <c r="AE179" s="13">
        <f>$AO179</f>
        <v>55.866666066987193</v>
      </c>
      <c r="AF179" s="19" t="s">
        <v>546</v>
      </c>
      <c r="AG179" s="15" t="s">
        <v>547</v>
      </c>
      <c r="AI179" s="16">
        <f t="shared" si="56"/>
        <v>115</v>
      </c>
      <c r="AJ179" s="66">
        <f t="shared" si="45"/>
        <v>55.866666066987193</v>
      </c>
      <c r="AK179" s="19" t="str">
        <f t="shared" si="58"/>
        <v>)/|\.</v>
      </c>
      <c r="AL179" s="15" t="str">
        <f t="shared" si="58"/>
        <v>)\!/'</v>
      </c>
      <c r="AM179" s="19"/>
      <c r="AN179" s="16">
        <v>115</v>
      </c>
      <c r="AO179" s="7">
        <f t="shared" ref="AO179:AO184" si="59">(AN179+AN178)/2*AN$18</f>
        <v>55.866666066987193</v>
      </c>
      <c r="AP179" s="19" t="s">
        <v>543</v>
      </c>
      <c r="AQ179" s="15" t="s">
        <v>544</v>
      </c>
    </row>
    <row r="180" spans="1:43" ht="13.5">
      <c r="A180" s="141" t="s">
        <v>114</v>
      </c>
      <c r="B180" s="142">
        <f>2^3*7^2</f>
        <v>392</v>
      </c>
      <c r="C180" s="141">
        <f>3^4*5</f>
        <v>405</v>
      </c>
      <c r="D180" s="143">
        <f t="shared" ref="D180:D207" si="60">1200*LN($C180/$B180)/LN(2)</f>
        <v>56.481904388134645</v>
      </c>
      <c r="E180" s="144" t="s">
        <v>546</v>
      </c>
      <c r="F180" s="170" t="s">
        <v>114</v>
      </c>
      <c r="G180" s="171"/>
      <c r="H180" s="170" t="s">
        <v>114</v>
      </c>
      <c r="I180" s="172"/>
      <c r="J180" s="171"/>
      <c r="K180" s="170" t="s">
        <v>114</v>
      </c>
      <c r="L180" s="172"/>
      <c r="M180" s="171"/>
      <c r="T180" s="67"/>
      <c r="U180" s="13"/>
      <c r="V180" s="13"/>
      <c r="W180" s="12"/>
      <c r="Y180" s="16"/>
      <c r="Z180" s="13"/>
      <c r="AA180" s="13"/>
      <c r="AB180" s="12"/>
      <c r="AD180" s="16"/>
      <c r="AE180" s="13"/>
      <c r="AF180" s="13"/>
      <c r="AG180" s="22"/>
      <c r="AI180" s="16">
        <f t="shared" si="56"/>
        <v>116</v>
      </c>
      <c r="AJ180" s="66">
        <f t="shared" si="45"/>
        <v>56.354584547921576</v>
      </c>
      <c r="AK180" s="19" t="str">
        <f t="shared" si="58"/>
        <v>)/|\</v>
      </c>
      <c r="AL180" s="15" t="str">
        <f t="shared" si="58"/>
        <v>)\!/</v>
      </c>
      <c r="AM180" s="19"/>
      <c r="AN180" s="16">
        <f>AN179+1</f>
        <v>116</v>
      </c>
      <c r="AO180" s="7">
        <f t="shared" si="59"/>
        <v>56.354584547921576</v>
      </c>
      <c r="AP180" s="19" t="s">
        <v>546</v>
      </c>
      <c r="AQ180" s="15" t="s">
        <v>547</v>
      </c>
    </row>
    <row r="181" spans="1:43" ht="13.5">
      <c r="A181" s="178" t="s">
        <v>115</v>
      </c>
      <c r="B181" s="189">
        <f>2^8*5</f>
        <v>1280</v>
      </c>
      <c r="C181" s="178">
        <f>3^3*7^2</f>
        <v>1323</v>
      </c>
      <c r="D181" s="179">
        <f t="shared" si="60"/>
        <v>57.203101669577443</v>
      </c>
      <c r="E181" s="180" t="s">
        <v>548</v>
      </c>
      <c r="F181" s="181" t="s">
        <v>115</v>
      </c>
      <c r="G181" s="182"/>
      <c r="H181" s="132"/>
      <c r="J181" s="126"/>
      <c r="M181" s="126"/>
      <c r="T181" s="67">
        <v>11</v>
      </c>
      <c r="U181" s="13">
        <f>$AO181</f>
        <v>56.842503028855965</v>
      </c>
      <c r="V181" s="19" t="str">
        <f>IF($N$6=7,"|\)","(|)")</f>
        <v>(|)</v>
      </c>
      <c r="W181" s="15" t="str">
        <f>IF($N$6=7,"!/)","(!)")</f>
        <v>(!)</v>
      </c>
      <c r="Y181" s="16"/>
      <c r="Z181" s="13"/>
      <c r="AA181" s="13"/>
      <c r="AB181" s="12"/>
      <c r="AD181" s="16"/>
      <c r="AE181" s="13"/>
      <c r="AF181" s="13"/>
      <c r="AG181" s="22"/>
      <c r="AI181" s="16">
        <f t="shared" si="56"/>
        <v>117</v>
      </c>
      <c r="AJ181" s="66">
        <f t="shared" si="45"/>
        <v>56.842503028855965</v>
      </c>
      <c r="AK181" s="19" t="str">
        <f t="shared" si="58"/>
        <v>)/|\'</v>
      </c>
      <c r="AL181" s="15" t="str">
        <f t="shared" si="58"/>
        <v>)\!/.</v>
      </c>
      <c r="AM181" s="19"/>
      <c r="AN181" s="16">
        <f>AN180+1</f>
        <v>117</v>
      </c>
      <c r="AO181" s="7">
        <f t="shared" si="59"/>
        <v>56.842503028855965</v>
      </c>
      <c r="AP181" s="19" t="s">
        <v>548</v>
      </c>
      <c r="AQ181" s="15" t="s">
        <v>549</v>
      </c>
    </row>
    <row r="182" spans="1:43" ht="13.5">
      <c r="A182" s="185" t="s">
        <v>552</v>
      </c>
      <c r="B182" s="185">
        <f>2^5*5*7*17</f>
        <v>19040</v>
      </c>
      <c r="C182" s="185">
        <f>3^9</f>
        <v>19683</v>
      </c>
      <c r="D182" s="186">
        <f t="shared" si="60"/>
        <v>57.499977954119714</v>
      </c>
      <c r="E182" s="180" t="s">
        <v>550</v>
      </c>
      <c r="F182" s="187" t="s">
        <v>552</v>
      </c>
      <c r="G182" s="182"/>
      <c r="J182" s="126"/>
      <c r="M182" s="126"/>
      <c r="T182" s="67"/>
      <c r="U182" s="13"/>
      <c r="V182" s="13"/>
      <c r="W182" s="12"/>
      <c r="Y182" s="16"/>
      <c r="Z182" s="13"/>
      <c r="AA182" s="13"/>
      <c r="AB182" s="12"/>
      <c r="AD182" s="16"/>
      <c r="AE182" s="13"/>
      <c r="AF182" s="13"/>
      <c r="AG182" s="22"/>
      <c r="AI182" s="16">
        <f t="shared" si="56"/>
        <v>118</v>
      </c>
      <c r="AJ182" s="66">
        <f t="shared" si="45"/>
        <v>57.330421509790348</v>
      </c>
      <c r="AK182" s="19" t="str">
        <f t="shared" si="58"/>
        <v>)/|\''</v>
      </c>
      <c r="AL182" s="15" t="str">
        <f t="shared" si="58"/>
        <v>)\!/..</v>
      </c>
      <c r="AM182" s="19"/>
      <c r="AN182" s="16">
        <f>AN181+1</f>
        <v>118</v>
      </c>
      <c r="AO182" s="7">
        <f t="shared" si="59"/>
        <v>57.330421509790348</v>
      </c>
      <c r="AP182" s="19" t="s">
        <v>550</v>
      </c>
      <c r="AQ182" s="15" t="s">
        <v>551</v>
      </c>
    </row>
    <row r="183" spans="1:43" ht="13.5">
      <c r="A183" s="185" t="s">
        <v>553</v>
      </c>
      <c r="B183" s="185">
        <f>2^3*11</f>
        <v>88</v>
      </c>
      <c r="C183" s="185">
        <f>7*13</f>
        <v>91</v>
      </c>
      <c r="D183" s="186">
        <f t="shared" si="60"/>
        <v>58.035625873678946</v>
      </c>
      <c r="E183" s="180" t="s">
        <v>327</v>
      </c>
      <c r="F183" s="187" t="s">
        <v>553</v>
      </c>
      <c r="G183" s="182"/>
      <c r="J183" s="126"/>
      <c r="M183" s="126"/>
      <c r="T183" s="67"/>
      <c r="U183" s="13"/>
      <c r="V183" s="13"/>
      <c r="W183" s="12"/>
      <c r="Y183" s="67">
        <v>24</v>
      </c>
      <c r="Z183" s="13">
        <f>$AO183</f>
        <v>57.818339990724738</v>
      </c>
      <c r="AA183" s="19" t="s">
        <v>59</v>
      </c>
      <c r="AB183" s="15" t="s">
        <v>90</v>
      </c>
      <c r="AD183" s="16">
        <v>30</v>
      </c>
      <c r="AE183" s="13">
        <f>$AO183</f>
        <v>57.818339990724738</v>
      </c>
      <c r="AF183" s="19" t="s">
        <v>236</v>
      </c>
      <c r="AG183" s="51" t="s">
        <v>237</v>
      </c>
      <c r="AI183" s="16">
        <f t="shared" si="56"/>
        <v>119</v>
      </c>
      <c r="AJ183" s="66">
        <f t="shared" si="45"/>
        <v>57.818339990724738</v>
      </c>
      <c r="AK183" s="19" t="str">
        <f t="shared" si="58"/>
        <v>.(|).</v>
      </c>
      <c r="AL183" s="15" t="str">
        <f t="shared" si="58"/>
        <v>'(!)'</v>
      </c>
      <c r="AM183" s="19"/>
      <c r="AN183" s="16">
        <f>AN182+1</f>
        <v>119</v>
      </c>
      <c r="AO183" s="7">
        <f t="shared" si="59"/>
        <v>57.818339990724738</v>
      </c>
      <c r="AP183" s="19" t="s">
        <v>327</v>
      </c>
      <c r="AQ183" s="51" t="s">
        <v>328</v>
      </c>
    </row>
    <row r="184" spans="1:43" ht="13.5">
      <c r="A184" s="147" t="s">
        <v>326</v>
      </c>
      <c r="B184" s="147">
        <f>3^2*5*11</f>
        <v>495</v>
      </c>
      <c r="C184" s="150">
        <f>2^9</f>
        <v>512</v>
      </c>
      <c r="D184" s="148">
        <f t="shared" si="60"/>
        <v>58.458342039633642</v>
      </c>
      <c r="E184" s="149" t="s">
        <v>236</v>
      </c>
      <c r="F184" s="174" t="s">
        <v>326</v>
      </c>
      <c r="G184" s="175"/>
      <c r="H184" s="174" t="s">
        <v>326</v>
      </c>
      <c r="I184" s="176"/>
      <c r="J184" s="175"/>
      <c r="M184" s="126"/>
      <c r="T184" s="67"/>
      <c r="U184" s="13"/>
      <c r="V184" s="13"/>
      <c r="W184" s="12"/>
      <c r="Y184" s="16"/>
      <c r="Z184" s="13"/>
      <c r="AA184" s="13"/>
      <c r="AB184" s="12"/>
      <c r="AD184" s="16"/>
      <c r="AE184" s="13"/>
      <c r="AF184" s="13"/>
      <c r="AG184" s="22"/>
      <c r="AI184" s="73">
        <f>AN184</f>
        <v>120</v>
      </c>
      <c r="AJ184" s="74">
        <f t="shared" si="45"/>
        <v>58.30625847165912</v>
      </c>
      <c r="AK184" s="19" t="str">
        <f t="shared" si="58"/>
        <v>.(|)</v>
      </c>
      <c r="AL184" s="15" t="str">
        <f t="shared" si="58"/>
        <v>'(!)</v>
      </c>
      <c r="AM184" s="19"/>
      <c r="AN184" s="16">
        <f>AN183+1</f>
        <v>120</v>
      </c>
      <c r="AO184" s="7">
        <f t="shared" si="59"/>
        <v>58.30625847165912</v>
      </c>
      <c r="AP184" s="19" t="s">
        <v>236</v>
      </c>
      <c r="AQ184" s="51" t="s">
        <v>237</v>
      </c>
    </row>
    <row r="185" spans="1:43" ht="13.5">
      <c r="A185" s="191" t="s">
        <v>554</v>
      </c>
      <c r="B185" s="191">
        <f>2^16</f>
        <v>65536</v>
      </c>
      <c r="C185" s="191">
        <f>3^7*31</f>
        <v>67797</v>
      </c>
      <c r="D185" s="186">
        <f t="shared" si="60"/>
        <v>58.720578521962175</v>
      </c>
      <c r="E185" s="180" t="s">
        <v>355</v>
      </c>
      <c r="F185" s="192" t="s">
        <v>554</v>
      </c>
      <c r="G185" s="182"/>
      <c r="J185" s="126"/>
      <c r="M185" s="126"/>
      <c r="T185" s="67"/>
      <c r="U185" s="13"/>
      <c r="V185" s="13"/>
      <c r="W185" s="12"/>
      <c r="Y185" s="16"/>
      <c r="Z185" s="13"/>
      <c r="AA185" s="13"/>
      <c r="AB185" s="12"/>
      <c r="AD185" s="16">
        <v>30.4</v>
      </c>
      <c r="AE185" s="13">
        <f>$AO185</f>
        <v>58.589460280797908</v>
      </c>
      <c r="AF185" s="19" t="s">
        <v>59</v>
      </c>
      <c r="AG185" s="15" t="s">
        <v>90</v>
      </c>
      <c r="AI185" s="75">
        <f>AN185</f>
        <v>120.58042853510374</v>
      </c>
      <c r="AJ185" s="74">
        <f t="shared" si="45"/>
        <v>58.589460280797908</v>
      </c>
      <c r="AK185" s="19" t="str">
        <f>AP185</f>
        <v>|\).</v>
      </c>
      <c r="AL185" s="15" t="str">
        <f>AQ185</f>
        <v>!/)'</v>
      </c>
      <c r="AM185" s="19"/>
      <c r="AN185" s="62">
        <f>AN184+(AO185-AO184)/$AN$18</f>
        <v>120.58042853510374</v>
      </c>
      <c r="AO185" s="7">
        <f>(D184+D185)/2</f>
        <v>58.589460280797908</v>
      </c>
      <c r="AP185" s="19" t="s">
        <v>355</v>
      </c>
      <c r="AQ185" s="15" t="s">
        <v>356</v>
      </c>
    </row>
    <row r="186" spans="1:43" ht="13.5">
      <c r="A186" s="141" t="s">
        <v>352</v>
      </c>
      <c r="B186" s="146">
        <f>2^23</f>
        <v>8388608</v>
      </c>
      <c r="C186" s="146">
        <f>3^11*7^2</f>
        <v>8680203</v>
      </c>
      <c r="D186" s="143">
        <f t="shared" si="60"/>
        <v>59.156822457511446</v>
      </c>
      <c r="E186" s="144" t="s">
        <v>59</v>
      </c>
      <c r="F186" s="170" t="s">
        <v>352</v>
      </c>
      <c r="G186" s="171"/>
      <c r="H186" s="170" t="s">
        <v>352</v>
      </c>
      <c r="I186" s="172"/>
      <c r="J186" s="171"/>
      <c r="K186" s="170" t="s">
        <v>352</v>
      </c>
      <c r="L186" s="172"/>
      <c r="M186" s="171"/>
      <c r="T186" s="67"/>
      <c r="U186" s="13"/>
      <c r="V186" s="13"/>
      <c r="W186" s="12"/>
      <c r="Y186" s="16"/>
      <c r="Z186" s="13"/>
      <c r="AA186" s="13"/>
      <c r="AB186" s="12"/>
      <c r="AD186" s="16"/>
      <c r="AE186" s="13"/>
      <c r="AF186" s="13"/>
      <c r="AG186" s="22"/>
      <c r="AI186" s="16">
        <f t="shared" si="56"/>
        <v>121</v>
      </c>
      <c r="AJ186" s="66">
        <f t="shared" si="45"/>
        <v>58.794176952593503</v>
      </c>
      <c r="AK186" s="19" t="str">
        <f t="shared" ref="AK186:AL189" si="61">AP186</f>
        <v>|\)</v>
      </c>
      <c r="AL186" s="15" t="str">
        <f t="shared" si="61"/>
        <v>!/)</v>
      </c>
      <c r="AM186" s="19"/>
      <c r="AN186" s="16">
        <f>AN184+1</f>
        <v>121</v>
      </c>
      <c r="AO186" s="7">
        <f>(AN186+AN184)/2*AN$18</f>
        <v>58.794176952593503</v>
      </c>
      <c r="AP186" s="19" t="s">
        <v>59</v>
      </c>
      <c r="AQ186" s="15" t="s">
        <v>90</v>
      </c>
    </row>
    <row r="187" spans="1:43" ht="13.5">
      <c r="A187" s="185" t="s">
        <v>557</v>
      </c>
      <c r="B187" s="185">
        <f>2^11*5*13</f>
        <v>133120</v>
      </c>
      <c r="C187" s="185">
        <f>3^9*7</f>
        <v>137781</v>
      </c>
      <c r="D187" s="186">
        <f t="shared" si="60"/>
        <v>59.579538623466412</v>
      </c>
      <c r="E187" s="180" t="s">
        <v>555</v>
      </c>
      <c r="F187" s="187" t="s">
        <v>557</v>
      </c>
      <c r="G187" s="182"/>
      <c r="J187" s="126"/>
      <c r="M187" s="126"/>
      <c r="T187" s="67"/>
      <c r="U187" s="13"/>
      <c r="V187" s="13"/>
      <c r="W187" s="12"/>
      <c r="Y187" s="16"/>
      <c r="Z187" s="13"/>
      <c r="AA187" s="13"/>
      <c r="AB187" s="12"/>
      <c r="AD187" s="16"/>
      <c r="AE187" s="13"/>
      <c r="AF187" s="13"/>
      <c r="AG187" s="22"/>
      <c r="AI187" s="16">
        <f t="shared" si="56"/>
        <v>122</v>
      </c>
      <c r="AJ187" s="66">
        <f t="shared" si="45"/>
        <v>59.282095433527893</v>
      </c>
      <c r="AK187" s="19" t="str">
        <f t="shared" si="61"/>
        <v>|\)'</v>
      </c>
      <c r="AL187" s="15" t="str">
        <f t="shared" si="61"/>
        <v>!/).</v>
      </c>
      <c r="AM187" s="19"/>
      <c r="AN187" s="16">
        <f>AN186+1</f>
        <v>122</v>
      </c>
      <c r="AO187" s="7">
        <f>(AN187+AN186)/2*AN$18</f>
        <v>59.282095433527893</v>
      </c>
      <c r="AP187" s="19" t="s">
        <v>555</v>
      </c>
      <c r="AQ187" s="15" t="s">
        <v>556</v>
      </c>
    </row>
    <row r="188" spans="1:43" ht="13.5">
      <c r="A188" s="185" t="s">
        <v>329</v>
      </c>
      <c r="B188" s="185">
        <f>5*17</f>
        <v>85</v>
      </c>
      <c r="C188" s="185">
        <f>2^3*11</f>
        <v>88</v>
      </c>
      <c r="D188" s="186">
        <f t="shared" si="60"/>
        <v>60.048818999514758</v>
      </c>
      <c r="E188" s="180" t="s">
        <v>377</v>
      </c>
      <c r="F188" s="187" t="s">
        <v>329</v>
      </c>
      <c r="G188" s="182"/>
      <c r="J188" s="126"/>
      <c r="M188" s="126"/>
      <c r="T188" s="67"/>
      <c r="U188" s="13"/>
      <c r="V188" s="13"/>
      <c r="W188" s="12"/>
      <c r="Y188" s="16">
        <v>25</v>
      </c>
      <c r="Z188" s="13">
        <f>$AO188</f>
        <v>59.770013914462275</v>
      </c>
      <c r="AA188" s="19" t="s">
        <v>24</v>
      </c>
      <c r="AB188" s="15" t="s">
        <v>25</v>
      </c>
      <c r="AD188" s="16">
        <v>31</v>
      </c>
      <c r="AE188" s="13">
        <f>$AO188</f>
        <v>59.770013914462275</v>
      </c>
      <c r="AF188" s="19" t="s">
        <v>24</v>
      </c>
      <c r="AG188" s="15" t="s">
        <v>25</v>
      </c>
      <c r="AI188" s="16">
        <f t="shared" si="56"/>
        <v>123</v>
      </c>
      <c r="AJ188" s="66">
        <f t="shared" si="45"/>
        <v>59.770013914462275</v>
      </c>
      <c r="AK188" s="19" t="str">
        <f t="shared" si="61"/>
        <v>(|).</v>
      </c>
      <c r="AL188" s="15" t="str">
        <f t="shared" si="61"/>
        <v>(!)'</v>
      </c>
      <c r="AM188" s="19"/>
      <c r="AN188" s="16">
        <f>AN187+1</f>
        <v>123</v>
      </c>
      <c r="AO188" s="7">
        <f>(AN188+AN187)/2*AN$18</f>
        <v>59.770013914462275</v>
      </c>
      <c r="AP188" s="19" t="s">
        <v>377</v>
      </c>
      <c r="AQ188" s="15" t="s">
        <v>378</v>
      </c>
    </row>
    <row r="189" spans="1:43" ht="13.5">
      <c r="A189" s="135" t="s">
        <v>116</v>
      </c>
      <c r="B189" s="135">
        <f>11*2^6</f>
        <v>704</v>
      </c>
      <c r="C189" s="135">
        <f>3^6</f>
        <v>729</v>
      </c>
      <c r="D189" s="136">
        <f t="shared" si="60"/>
        <v>60.412062827567631</v>
      </c>
      <c r="E189" s="139" t="s">
        <v>24</v>
      </c>
      <c r="F189" s="163" t="s">
        <v>116</v>
      </c>
      <c r="G189" s="167"/>
      <c r="H189" s="163" t="s">
        <v>116</v>
      </c>
      <c r="I189" s="165"/>
      <c r="J189" s="167"/>
      <c r="K189" s="163" t="s">
        <v>116</v>
      </c>
      <c r="L189" s="165"/>
      <c r="M189" s="167"/>
      <c r="N189" s="163" t="s">
        <v>116</v>
      </c>
      <c r="O189" s="165"/>
      <c r="T189" s="67"/>
      <c r="U189" s="13"/>
      <c r="V189" s="13"/>
      <c r="W189" s="12"/>
      <c r="Y189" s="16"/>
      <c r="Z189" s="13"/>
      <c r="AA189" s="13"/>
      <c r="AB189" s="12"/>
      <c r="AD189" s="16"/>
      <c r="AE189" s="13"/>
      <c r="AF189" s="13"/>
      <c r="AG189" s="22"/>
      <c r="AI189" s="16">
        <f t="shared" si="56"/>
        <v>124</v>
      </c>
      <c r="AJ189" s="66">
        <f t="shared" si="45"/>
        <v>60.257932395396665</v>
      </c>
      <c r="AK189" s="19" t="str">
        <f t="shared" si="61"/>
        <v>(|)</v>
      </c>
      <c r="AL189" s="15" t="str">
        <f t="shared" si="61"/>
        <v>(!)</v>
      </c>
      <c r="AM189" s="19"/>
      <c r="AN189" s="16">
        <f>AN188+1</f>
        <v>124</v>
      </c>
      <c r="AO189" s="7">
        <f>(AN189+AN188)/2*AN$18</f>
        <v>60.257932395396665</v>
      </c>
      <c r="AP189" s="19" t="s">
        <v>24</v>
      </c>
      <c r="AQ189" s="15" t="s">
        <v>25</v>
      </c>
    </row>
    <row r="190" spans="1:43" ht="13.5">
      <c r="A190" s="199" t="s">
        <v>560</v>
      </c>
      <c r="B190" s="199">
        <f>3^4*5^5</f>
        <v>253125</v>
      </c>
      <c r="C190" s="199">
        <f>2^18</f>
        <v>262144</v>
      </c>
      <c r="D190" s="200">
        <f t="shared" si="60"/>
        <v>60.611427214276333</v>
      </c>
      <c r="E190" s="202" t="s">
        <v>558</v>
      </c>
      <c r="F190" s="133"/>
      <c r="G190" s="127"/>
      <c r="J190" s="127"/>
      <c r="M190" s="127"/>
      <c r="T190" s="67"/>
      <c r="U190" s="13"/>
      <c r="V190" s="13"/>
      <c r="W190" s="12"/>
      <c r="Y190" s="16"/>
      <c r="Z190" s="13"/>
      <c r="AA190" s="13"/>
      <c r="AB190" s="12"/>
      <c r="AD190" s="16"/>
      <c r="AE190" s="13"/>
      <c r="AF190" s="13"/>
      <c r="AG190" s="22"/>
      <c r="AI190" s="62"/>
      <c r="AJ190" s="66"/>
      <c r="AK190" s="19"/>
      <c r="AL190" s="15"/>
      <c r="AM190" s="19"/>
      <c r="AN190" s="62">
        <f>AN189+(AO190-AO189)/$AN$18</f>
        <v>124.5201947362995</v>
      </c>
      <c r="AO190" s="7">
        <f>(D189+D190)/2</f>
        <v>60.511745020921978</v>
      </c>
      <c r="AP190" s="4" t="s">
        <v>558</v>
      </c>
      <c r="AQ190" s="15" t="s">
        <v>559</v>
      </c>
    </row>
    <row r="191" spans="1:43" ht="13.5">
      <c r="A191" s="185" t="s">
        <v>563</v>
      </c>
      <c r="B191" s="185">
        <f>2^10*7</f>
        <v>7168</v>
      </c>
      <c r="C191" s="185">
        <f>3^3*5^2*11</f>
        <v>7425</v>
      </c>
      <c r="D191" s="186">
        <f t="shared" si="60"/>
        <v>60.984466221463769</v>
      </c>
      <c r="E191" s="180" t="s">
        <v>561</v>
      </c>
      <c r="F191" s="187" t="s">
        <v>563</v>
      </c>
      <c r="G191" s="182"/>
      <c r="J191" s="126"/>
      <c r="M191" s="126"/>
      <c r="T191" s="67"/>
      <c r="U191" s="13"/>
      <c r="V191" s="13"/>
      <c r="W191" s="12"/>
      <c r="Y191" s="16"/>
      <c r="Z191" s="13"/>
      <c r="AA191" s="13"/>
      <c r="AB191" s="12"/>
      <c r="AD191" s="16"/>
      <c r="AE191" s="13"/>
      <c r="AF191" s="13"/>
      <c r="AG191" s="22"/>
      <c r="AI191" s="16">
        <f t="shared" ref="AI191:AI199" si="62">AN191</f>
        <v>125</v>
      </c>
      <c r="AJ191" s="66">
        <f t="shared" si="45"/>
        <v>60.745850876331048</v>
      </c>
      <c r="AK191" s="19" t="str">
        <f t="shared" ref="AK191:AL194" si="63">AP191</f>
        <v>(|)'</v>
      </c>
      <c r="AL191" s="15" t="str">
        <f t="shared" si="63"/>
        <v>(!).</v>
      </c>
      <c r="AM191" s="19"/>
      <c r="AN191" s="16">
        <f>AN189+1</f>
        <v>125</v>
      </c>
      <c r="AO191" s="7">
        <f>(AN191+AN189)/2*AN$18</f>
        <v>60.745850876331048</v>
      </c>
      <c r="AP191" s="19" t="s">
        <v>561</v>
      </c>
      <c r="AQ191" s="15" t="s">
        <v>562</v>
      </c>
    </row>
    <row r="192" spans="1:43" ht="13.5">
      <c r="A192" s="185" t="s">
        <v>566</v>
      </c>
      <c r="B192" s="185">
        <f>2^18*5</f>
        <v>1310720</v>
      </c>
      <c r="C192" s="185">
        <f>3^10*23</f>
        <v>1358127</v>
      </c>
      <c r="D192" s="186">
        <f t="shared" si="60"/>
        <v>61.510642057454952</v>
      </c>
      <c r="E192" s="180" t="s">
        <v>564</v>
      </c>
      <c r="F192" s="187" t="s">
        <v>566</v>
      </c>
      <c r="G192" s="182"/>
      <c r="J192" s="126"/>
      <c r="M192" s="126"/>
      <c r="T192" s="67"/>
      <c r="U192" s="13"/>
      <c r="V192" s="13"/>
      <c r="W192" s="12"/>
      <c r="Y192" s="16"/>
      <c r="Z192" s="13"/>
      <c r="AA192" s="13"/>
      <c r="AB192" s="12"/>
      <c r="AD192" s="16"/>
      <c r="AE192" s="13"/>
      <c r="AF192" s="13"/>
      <c r="AG192" s="22"/>
      <c r="AI192" s="16">
        <f t="shared" si="62"/>
        <v>126</v>
      </c>
      <c r="AJ192" s="66">
        <f t="shared" si="45"/>
        <v>61.233769357265437</v>
      </c>
      <c r="AK192" s="19" t="str">
        <f t="shared" si="63"/>
        <v>(|)''</v>
      </c>
      <c r="AL192" s="15" t="str">
        <f t="shared" si="63"/>
        <v>(!)..</v>
      </c>
      <c r="AM192" s="19"/>
      <c r="AN192" s="16">
        <f>AN191+1</f>
        <v>126</v>
      </c>
      <c r="AO192" s="7">
        <f>(AN192+AN191)/2*AN$18</f>
        <v>61.233769357265437</v>
      </c>
      <c r="AP192" s="19" t="s">
        <v>564</v>
      </c>
      <c r="AQ192" s="15" t="s">
        <v>565</v>
      </c>
    </row>
    <row r="193" spans="1:43" ht="13.5">
      <c r="A193" s="191" t="s">
        <v>330</v>
      </c>
      <c r="B193" s="191">
        <f>2^12*17</f>
        <v>69632</v>
      </c>
      <c r="C193" s="191">
        <f>3^8*11</f>
        <v>72171</v>
      </c>
      <c r="D193" s="186">
        <f t="shared" si="60"/>
        <v>62.002539787448633</v>
      </c>
      <c r="E193" s="183" t="s">
        <v>357</v>
      </c>
      <c r="F193" s="192" t="s">
        <v>330</v>
      </c>
      <c r="G193" s="184"/>
      <c r="J193" s="128"/>
      <c r="M193" s="128"/>
      <c r="T193" s="67"/>
      <c r="U193" s="13"/>
      <c r="V193" s="13"/>
      <c r="W193" s="12"/>
      <c r="Y193" s="16">
        <v>26</v>
      </c>
      <c r="Z193" s="13">
        <f>$AO193</f>
        <v>61.72168783819982</v>
      </c>
      <c r="AA193" s="19" t="s">
        <v>88</v>
      </c>
      <c r="AB193" s="15" t="s">
        <v>89</v>
      </c>
      <c r="AD193" s="16">
        <v>32</v>
      </c>
      <c r="AE193" s="13">
        <f>$AO193</f>
        <v>61.72168783819982</v>
      </c>
      <c r="AF193" s="4" t="s">
        <v>341</v>
      </c>
      <c r="AG193" s="15" t="s">
        <v>342</v>
      </c>
      <c r="AI193" s="16">
        <f t="shared" si="62"/>
        <v>127</v>
      </c>
      <c r="AJ193" s="66">
        <f t="shared" si="45"/>
        <v>61.72168783819982</v>
      </c>
      <c r="AK193" s="19" t="str">
        <f t="shared" si="63"/>
        <v>'(|).</v>
      </c>
      <c r="AL193" s="15" t="str">
        <f t="shared" si="63"/>
        <v>.(!)'</v>
      </c>
      <c r="AM193" s="19"/>
      <c r="AN193" s="16">
        <f>AN192+1</f>
        <v>127</v>
      </c>
      <c r="AO193" s="7">
        <f>(AN193+AN192)/2*AN$18</f>
        <v>61.72168783819982</v>
      </c>
      <c r="AP193" s="58" t="s">
        <v>357</v>
      </c>
      <c r="AQ193" s="68" t="s">
        <v>358</v>
      </c>
    </row>
    <row r="194" spans="1:43" ht="13.5">
      <c r="A194" s="147" t="s">
        <v>340</v>
      </c>
      <c r="B194" s="156">
        <f>2^21*11</f>
        <v>23068672</v>
      </c>
      <c r="C194" s="154">
        <f>3^14*5</f>
        <v>23914845</v>
      </c>
      <c r="D194" s="152">
        <f t="shared" si="60"/>
        <v>62.365783615502089</v>
      </c>
      <c r="E194" s="151" t="s">
        <v>341</v>
      </c>
      <c r="F194" s="174" t="s">
        <v>340</v>
      </c>
      <c r="G194" s="177"/>
      <c r="H194" s="174" t="s">
        <v>340</v>
      </c>
      <c r="I194" s="176"/>
      <c r="J194" s="177"/>
      <c r="M194" s="127"/>
      <c r="T194" s="67"/>
      <c r="U194" s="13"/>
      <c r="V194" s="13"/>
      <c r="W194" s="12"/>
      <c r="Y194" s="16"/>
      <c r="Z194" s="13"/>
      <c r="AA194" s="13"/>
      <c r="AB194" s="12"/>
      <c r="AD194" s="16"/>
      <c r="AE194" s="13"/>
      <c r="AF194" s="13"/>
      <c r="AG194" s="22"/>
      <c r="AI194" s="16">
        <f>AN194</f>
        <v>128</v>
      </c>
      <c r="AJ194" s="66">
        <f t="shared" si="45"/>
        <v>62.20960631913421</v>
      </c>
      <c r="AK194" s="19" t="str">
        <f t="shared" si="63"/>
        <v>'(|)</v>
      </c>
      <c r="AL194" s="15" t="str">
        <f t="shared" si="63"/>
        <v>.(!)</v>
      </c>
      <c r="AM194" s="19"/>
      <c r="AN194" s="16">
        <f>AN193+1</f>
        <v>128</v>
      </c>
      <c r="AO194" s="7">
        <f>(AN194+AN193)/2*AN$18</f>
        <v>62.20960631913421</v>
      </c>
      <c r="AP194" s="4" t="s">
        <v>341</v>
      </c>
      <c r="AQ194" s="15" t="s">
        <v>342</v>
      </c>
    </row>
    <row r="195" spans="1:43" ht="13.5">
      <c r="A195" s="185" t="s">
        <v>206</v>
      </c>
      <c r="B195" s="185">
        <f>5^4</f>
        <v>625</v>
      </c>
      <c r="C195" s="185">
        <f>2^3*3^4</f>
        <v>648</v>
      </c>
      <c r="D195" s="186">
        <f t="shared" si="60"/>
        <v>62.565148002210307</v>
      </c>
      <c r="E195" s="180" t="s">
        <v>207</v>
      </c>
      <c r="F195" s="187" t="s">
        <v>206</v>
      </c>
      <c r="G195" s="182"/>
      <c r="J195" s="126"/>
      <c r="M195" s="126"/>
      <c r="T195" s="67">
        <v>12</v>
      </c>
      <c r="U195" s="13">
        <f>$AO195</f>
        <v>62.465465808856194</v>
      </c>
      <c r="V195" s="19" t="s">
        <v>7</v>
      </c>
      <c r="W195" s="15" t="s">
        <v>8</v>
      </c>
      <c r="Y195" s="16"/>
      <c r="Z195" s="13"/>
      <c r="AA195" s="13"/>
      <c r="AB195" s="12"/>
      <c r="AD195" s="16">
        <v>32.4</v>
      </c>
      <c r="AE195" s="13">
        <f>$AO195</f>
        <v>62.465465808856194</v>
      </c>
      <c r="AF195" s="19" t="s">
        <v>55</v>
      </c>
      <c r="AG195" s="51" t="s">
        <v>56</v>
      </c>
      <c r="AI195" s="62">
        <f>AN195</f>
        <v>128.52438983092421</v>
      </c>
      <c r="AJ195" s="66">
        <f t="shared" si="45"/>
        <v>62.465465808856194</v>
      </c>
      <c r="AK195" s="19" t="str">
        <f t="shared" ref="AK195:AL198" si="64">AP195</f>
        <v>.(|\.</v>
      </c>
      <c r="AL195" s="15" t="str">
        <f t="shared" si="64"/>
        <v>'(!/'</v>
      </c>
      <c r="AM195" s="19"/>
      <c r="AN195" s="62">
        <f>AN194+(AO195-AO194)/$AN$18</f>
        <v>128.52438983092421</v>
      </c>
      <c r="AO195" s="7">
        <f>(D194+D195)/2</f>
        <v>62.465465808856194</v>
      </c>
      <c r="AP195" s="19" t="s">
        <v>207</v>
      </c>
      <c r="AQ195" s="51" t="s">
        <v>208</v>
      </c>
    </row>
    <row r="196" spans="1:43" ht="13.5">
      <c r="A196" s="147" t="s">
        <v>118</v>
      </c>
      <c r="B196" s="147">
        <f>3^3</f>
        <v>27</v>
      </c>
      <c r="C196" s="147">
        <f>2^2*7</f>
        <v>28</v>
      </c>
      <c r="D196" s="148">
        <f t="shared" si="60"/>
        <v>62.960903872962582</v>
      </c>
      <c r="E196" s="149" t="s">
        <v>55</v>
      </c>
      <c r="F196" s="174" t="s">
        <v>118</v>
      </c>
      <c r="G196" s="175"/>
      <c r="H196" s="174" t="s">
        <v>118</v>
      </c>
      <c r="I196" s="176"/>
      <c r="J196" s="175"/>
      <c r="M196" s="126"/>
      <c r="T196" s="67"/>
      <c r="U196" s="13"/>
      <c r="V196" s="13"/>
      <c r="W196" s="12"/>
      <c r="Y196" s="16"/>
      <c r="Z196" s="13"/>
      <c r="AA196" s="13"/>
      <c r="AB196" s="12"/>
      <c r="AD196" s="16"/>
      <c r="AE196" s="13"/>
      <c r="AF196" s="13"/>
      <c r="AG196" s="22"/>
      <c r="AI196" s="16">
        <f t="shared" si="62"/>
        <v>129</v>
      </c>
      <c r="AJ196" s="66">
        <f t="shared" si="45"/>
        <v>62.697524800068592</v>
      </c>
      <c r="AK196" s="19" t="str">
        <f t="shared" si="64"/>
        <v>.(|\</v>
      </c>
      <c r="AL196" s="15" t="str">
        <f t="shared" si="64"/>
        <v>'(!/</v>
      </c>
      <c r="AM196" s="19"/>
      <c r="AN196" s="16">
        <f>AN194+1</f>
        <v>129</v>
      </c>
      <c r="AO196" s="7">
        <f>(AN196+AN194)/2*AN$18</f>
        <v>62.697524800068592</v>
      </c>
      <c r="AP196" s="19" t="s">
        <v>55</v>
      </c>
      <c r="AQ196" s="51" t="s">
        <v>56</v>
      </c>
    </row>
    <row r="197" spans="1:43" ht="13.5">
      <c r="A197" s="185" t="s">
        <v>331</v>
      </c>
      <c r="B197" s="185">
        <f>3^5*5*13</f>
        <v>15795</v>
      </c>
      <c r="C197" s="185">
        <f>2^14</f>
        <v>16384</v>
      </c>
      <c r="D197" s="186">
        <f t="shared" si="60"/>
        <v>63.383620038917627</v>
      </c>
      <c r="E197" s="180" t="s">
        <v>567</v>
      </c>
      <c r="F197" s="187" t="s">
        <v>331</v>
      </c>
      <c r="G197" s="182"/>
      <c r="J197" s="126"/>
      <c r="M197" s="126"/>
      <c r="T197" s="67"/>
      <c r="U197" s="13"/>
      <c r="V197" s="13"/>
      <c r="W197" s="12"/>
      <c r="Y197" s="16"/>
      <c r="Z197" s="13"/>
      <c r="AA197" s="13"/>
      <c r="AB197" s="12"/>
      <c r="AD197" s="16"/>
      <c r="AE197" s="13"/>
      <c r="AF197" s="13"/>
      <c r="AG197" s="22"/>
      <c r="AI197" s="16">
        <f t="shared" si="62"/>
        <v>130</v>
      </c>
      <c r="AJ197" s="66">
        <f t="shared" si="45"/>
        <v>63.185443281002982</v>
      </c>
      <c r="AK197" s="19" t="str">
        <f t="shared" si="64"/>
        <v>.(|\'</v>
      </c>
      <c r="AL197" s="15" t="str">
        <f t="shared" si="64"/>
        <v>'(!/.</v>
      </c>
      <c r="AM197" s="19"/>
      <c r="AN197" s="16">
        <f>AN196+1</f>
        <v>130</v>
      </c>
      <c r="AO197" s="7">
        <f>(AN197+AN196)/2*AN$18</f>
        <v>63.185443281002982</v>
      </c>
      <c r="AP197" s="19" t="s">
        <v>567</v>
      </c>
      <c r="AQ197" s="51" t="s">
        <v>568</v>
      </c>
    </row>
    <row r="198" spans="1:43" ht="13.5">
      <c r="A198" s="141" t="s">
        <v>175</v>
      </c>
      <c r="B198" s="142">
        <f>2^15*11</f>
        <v>360448</v>
      </c>
      <c r="C198" s="141">
        <f>3^9*19</f>
        <v>373977</v>
      </c>
      <c r="D198" s="143">
        <f t="shared" si="60"/>
        <v>63.790081556032519</v>
      </c>
      <c r="E198" s="144" t="s">
        <v>88</v>
      </c>
      <c r="F198" s="170" t="s">
        <v>175</v>
      </c>
      <c r="G198" s="171"/>
      <c r="H198" s="170" t="s">
        <v>175</v>
      </c>
      <c r="I198" s="172"/>
      <c r="J198" s="171"/>
      <c r="K198" s="170" t="s">
        <v>175</v>
      </c>
      <c r="L198" s="172"/>
      <c r="M198" s="171"/>
      <c r="T198" s="67"/>
      <c r="U198" s="13"/>
      <c r="V198" s="13"/>
      <c r="W198" s="12"/>
      <c r="Y198" s="16"/>
      <c r="Z198" s="13"/>
      <c r="AA198" s="13"/>
      <c r="AB198" s="12"/>
      <c r="AD198" s="16">
        <v>33</v>
      </c>
      <c r="AE198" s="13">
        <f>$AO198</f>
        <v>63.673361761937365</v>
      </c>
      <c r="AF198" s="19" t="s">
        <v>88</v>
      </c>
      <c r="AG198" s="15" t="s">
        <v>89</v>
      </c>
      <c r="AI198" s="16">
        <f t="shared" si="62"/>
        <v>131</v>
      </c>
      <c r="AJ198" s="66">
        <f t="shared" si="45"/>
        <v>63.673361761937365</v>
      </c>
      <c r="AK198" s="19" t="str">
        <f t="shared" si="64"/>
        <v>|\\</v>
      </c>
      <c r="AL198" s="15" t="str">
        <f t="shared" si="64"/>
        <v>!//</v>
      </c>
      <c r="AM198" s="19"/>
      <c r="AN198" s="16">
        <f>AN197+1</f>
        <v>131</v>
      </c>
      <c r="AO198" s="7">
        <f>(AN198+AN197)/2*AN$18</f>
        <v>63.673361761937365</v>
      </c>
      <c r="AP198" s="19" t="s">
        <v>88</v>
      </c>
      <c r="AQ198" s="15" t="s">
        <v>89</v>
      </c>
    </row>
    <row r="199" spans="1:43" ht="13.5">
      <c r="A199" s="199" t="s">
        <v>571</v>
      </c>
      <c r="B199" s="199">
        <f>2^8*7^3</f>
        <v>87808</v>
      </c>
      <c r="C199" s="199">
        <f>3^6*5^3</f>
        <v>91125</v>
      </c>
      <c r="D199" s="200">
        <f t="shared" si="60"/>
        <v>64.193427379454349</v>
      </c>
      <c r="E199" s="201" t="s">
        <v>569</v>
      </c>
      <c r="F199" s="133"/>
      <c r="G199" s="126"/>
      <c r="J199" s="126"/>
      <c r="M199" s="126"/>
      <c r="T199" s="67"/>
      <c r="U199" s="13"/>
      <c r="V199" s="13"/>
      <c r="W199" s="12"/>
      <c r="Y199" s="16">
        <v>27</v>
      </c>
      <c r="Z199" s="13">
        <f>$AO199</f>
        <v>64.161280242871754</v>
      </c>
      <c r="AA199" s="19" t="s">
        <v>7</v>
      </c>
      <c r="AB199" s="15" t="s">
        <v>8</v>
      </c>
      <c r="AD199" s="16">
        <v>33.200000000000003</v>
      </c>
      <c r="AE199" s="13">
        <f>$AO199</f>
        <v>64.161280242871754</v>
      </c>
      <c r="AF199" s="19" t="s">
        <v>7</v>
      </c>
      <c r="AG199" s="15" t="s">
        <v>8</v>
      </c>
      <c r="AI199" s="16">
        <f t="shared" si="62"/>
        <v>132</v>
      </c>
      <c r="AJ199" s="66">
        <f t="shared" si="45"/>
        <v>64.161280242871754</v>
      </c>
      <c r="AK199" s="19" t="str">
        <f>AP200</f>
        <v>(|\.</v>
      </c>
      <c r="AL199" s="15" t="str">
        <f>AQ200</f>
        <v>(!/'</v>
      </c>
      <c r="AM199" s="19"/>
      <c r="AN199" s="16">
        <f>AN198+1</f>
        <v>132</v>
      </c>
      <c r="AO199" s="7">
        <f>(AN199+AN198)/2*AN$18</f>
        <v>64.161280242871754</v>
      </c>
      <c r="AP199" s="19" t="s">
        <v>569</v>
      </c>
      <c r="AQ199" s="15" t="s">
        <v>570</v>
      </c>
    </row>
    <row r="200" spans="1:43" ht="13.5">
      <c r="A200" s="178" t="s">
        <v>246</v>
      </c>
      <c r="B200" s="178">
        <f>5^3*2^12</f>
        <v>512000</v>
      </c>
      <c r="C200" s="178">
        <f>3^12</f>
        <v>531441</v>
      </c>
      <c r="D200" s="179">
        <f t="shared" si="60"/>
        <v>64.518868790144666</v>
      </c>
      <c r="E200" s="180" t="s">
        <v>122</v>
      </c>
      <c r="F200" s="181" t="s">
        <v>246</v>
      </c>
      <c r="G200" s="182"/>
      <c r="J200" s="126"/>
      <c r="M200" s="126"/>
      <c r="T200" s="67"/>
      <c r="U200" s="13"/>
      <c r="V200" s="13"/>
      <c r="W200" s="12"/>
      <c r="Y200" s="16"/>
      <c r="Z200" s="13"/>
      <c r="AA200" s="19"/>
      <c r="AB200" s="12"/>
      <c r="AD200" s="16"/>
      <c r="AE200" s="13"/>
      <c r="AF200" s="13"/>
      <c r="AG200" s="22"/>
      <c r="AI200" s="62"/>
      <c r="AJ200" s="66"/>
      <c r="AK200" s="19"/>
      <c r="AL200" s="15"/>
      <c r="AM200" s="19"/>
      <c r="AN200" s="62">
        <f>AN199+(AO200-AO199)/$AN$18</f>
        <v>132.39938606456263</v>
      </c>
      <c r="AO200" s="7">
        <f>(D199+D200)/2</f>
        <v>64.356148084799514</v>
      </c>
      <c r="AP200" s="19" t="s">
        <v>122</v>
      </c>
      <c r="AQ200" s="15" t="s">
        <v>123</v>
      </c>
    </row>
    <row r="201" spans="1:43" ht="13.5">
      <c r="A201" s="135" t="s">
        <v>117</v>
      </c>
      <c r="B201" s="135">
        <f>2^13</f>
        <v>8192</v>
      </c>
      <c r="C201" s="140">
        <f>3^5*5*7</f>
        <v>8505</v>
      </c>
      <c r="D201" s="136">
        <f t="shared" si="60"/>
        <v>64.914624660896834</v>
      </c>
      <c r="E201" s="139" t="s">
        <v>7</v>
      </c>
      <c r="F201" s="163" t="s">
        <v>117</v>
      </c>
      <c r="G201" s="167"/>
      <c r="H201" s="163" t="s">
        <v>117</v>
      </c>
      <c r="I201" s="165"/>
      <c r="J201" s="167"/>
      <c r="K201" s="163" t="s">
        <v>117</v>
      </c>
      <c r="L201" s="165"/>
      <c r="M201" s="167"/>
      <c r="N201" s="163" t="s">
        <v>117</v>
      </c>
      <c r="O201" s="165"/>
      <c r="T201" s="67"/>
      <c r="U201" s="13"/>
      <c r="V201" s="13"/>
      <c r="W201" s="12"/>
      <c r="Y201" s="16"/>
      <c r="Z201" s="13"/>
      <c r="AA201" s="13"/>
      <c r="AB201" s="12"/>
      <c r="AD201" s="16"/>
      <c r="AE201" s="13"/>
      <c r="AF201" s="13"/>
      <c r="AG201" s="22"/>
      <c r="AI201" s="16">
        <f t="shared" ref="AI201:AI208" si="65">AN201</f>
        <v>133</v>
      </c>
      <c r="AJ201" s="66">
        <f t="shared" si="45"/>
        <v>64.649198723806137</v>
      </c>
      <c r="AK201" s="19" t="str">
        <f t="shared" ref="AK201:AL207" si="66">AP201</f>
        <v>(|\</v>
      </c>
      <c r="AL201" s="15" t="str">
        <f t="shared" si="66"/>
        <v>(!/</v>
      </c>
      <c r="AM201" s="19"/>
      <c r="AN201" s="16">
        <f>AN199+1</f>
        <v>133</v>
      </c>
      <c r="AO201" s="7">
        <f>(AN201+AN199)/2*AN$18</f>
        <v>64.649198723806137</v>
      </c>
      <c r="AP201" s="19" t="s">
        <v>7</v>
      </c>
      <c r="AQ201" s="15" t="s">
        <v>8</v>
      </c>
    </row>
    <row r="202" spans="1:43" ht="13.5">
      <c r="A202" s="178" t="s">
        <v>121</v>
      </c>
      <c r="B202" s="178">
        <f>13*2</f>
        <v>26</v>
      </c>
      <c r="C202" s="178">
        <f>3^3</f>
        <v>27</v>
      </c>
      <c r="D202" s="179">
        <f t="shared" si="60"/>
        <v>65.337340826851815</v>
      </c>
      <c r="E202" s="180" t="s">
        <v>119</v>
      </c>
      <c r="F202" s="181" t="s">
        <v>121</v>
      </c>
      <c r="G202" s="182"/>
      <c r="J202" s="126"/>
      <c r="M202" s="126"/>
      <c r="T202" s="67"/>
      <c r="U202" s="13"/>
      <c r="V202" s="13"/>
      <c r="W202" s="12"/>
      <c r="Y202" s="16"/>
      <c r="Z202" s="13"/>
      <c r="AA202" s="13"/>
      <c r="AB202" s="12"/>
      <c r="AD202" s="16"/>
      <c r="AE202" s="13"/>
      <c r="AF202" s="13"/>
      <c r="AG202" s="22"/>
      <c r="AI202" s="16">
        <f t="shared" si="65"/>
        <v>134</v>
      </c>
      <c r="AJ202" s="66">
        <f t="shared" si="45"/>
        <v>65.13711720474052</v>
      </c>
      <c r="AK202" s="19" t="str">
        <f t="shared" si="66"/>
        <v>(|\'</v>
      </c>
      <c r="AL202" s="15" t="str">
        <f t="shared" si="66"/>
        <v>(!/.</v>
      </c>
      <c r="AM202" s="19"/>
      <c r="AN202" s="16">
        <f t="shared" ref="AN202:AN208" si="67">AN201+1</f>
        <v>134</v>
      </c>
      <c r="AO202" s="7">
        <f t="shared" ref="AO202:AO208" si="68">(AN202+AN201)/2*AN$18</f>
        <v>65.13711720474052</v>
      </c>
      <c r="AP202" s="19" t="s">
        <v>119</v>
      </c>
      <c r="AQ202" s="15" t="s">
        <v>120</v>
      </c>
    </row>
    <row r="203" spans="1:43" ht="13.5">
      <c r="A203" s="185" t="s">
        <v>574</v>
      </c>
      <c r="B203" s="196">
        <f>2^8*11</f>
        <v>2816</v>
      </c>
      <c r="C203" s="185">
        <f>3^2*5^2*13</f>
        <v>2925</v>
      </c>
      <c r="D203" s="186">
        <f t="shared" si="60"/>
        <v>65.747148864998536</v>
      </c>
      <c r="E203" s="180" t="s">
        <v>572</v>
      </c>
      <c r="F203" s="187" t="s">
        <v>574</v>
      </c>
      <c r="G203" s="182"/>
      <c r="J203" s="129"/>
      <c r="M203" s="129"/>
      <c r="T203" s="67"/>
      <c r="U203" s="13"/>
      <c r="V203" s="13"/>
      <c r="W203" s="12"/>
      <c r="Y203" s="16"/>
      <c r="Z203" s="13"/>
      <c r="AA203" s="13"/>
      <c r="AB203" s="12"/>
      <c r="AD203" s="16"/>
      <c r="AE203" s="13"/>
      <c r="AF203" s="13"/>
      <c r="AG203" s="22"/>
      <c r="AI203" s="16">
        <f t="shared" si="65"/>
        <v>135</v>
      </c>
      <c r="AJ203" s="66">
        <f t="shared" si="45"/>
        <v>65.625035685674916</v>
      </c>
      <c r="AK203" s="19" t="str">
        <f t="shared" si="66"/>
        <v>(|\''</v>
      </c>
      <c r="AL203" s="15" t="str">
        <f t="shared" si="66"/>
        <v>(!/..</v>
      </c>
      <c r="AM203" s="19"/>
      <c r="AN203" s="16">
        <f t="shared" si="67"/>
        <v>135</v>
      </c>
      <c r="AO203" s="7">
        <f t="shared" si="68"/>
        <v>65.625035685674916</v>
      </c>
      <c r="AP203" s="57" t="s">
        <v>572</v>
      </c>
      <c r="AQ203" s="68" t="s">
        <v>573</v>
      </c>
    </row>
    <row r="204" spans="1:43" ht="13.5">
      <c r="A204" s="191" t="s">
        <v>577</v>
      </c>
      <c r="B204" s="191">
        <f>2^9*37</f>
        <v>18944</v>
      </c>
      <c r="C204" s="191">
        <f>3^9</f>
        <v>19683</v>
      </c>
      <c r="D204" s="186">
        <f t="shared" si="60"/>
        <v>66.250969033747197</v>
      </c>
      <c r="E204" s="180" t="s">
        <v>575</v>
      </c>
      <c r="F204" s="192" t="s">
        <v>577</v>
      </c>
      <c r="G204" s="182"/>
      <c r="J204" s="129"/>
      <c r="M204" s="129"/>
      <c r="T204" s="67"/>
      <c r="U204" s="13"/>
      <c r="V204" s="13"/>
      <c r="W204" s="12"/>
      <c r="Y204" s="16">
        <v>28</v>
      </c>
      <c r="Z204" s="13">
        <f>$AO204</f>
        <v>66.112954166609299</v>
      </c>
      <c r="AA204" s="19" t="s">
        <v>386</v>
      </c>
      <c r="AB204" s="15" t="s">
        <v>387</v>
      </c>
      <c r="AD204" s="16">
        <v>34</v>
      </c>
      <c r="AE204" s="13">
        <f>$AO204</f>
        <v>66.112954166609299</v>
      </c>
      <c r="AF204" s="19" t="s">
        <v>386</v>
      </c>
      <c r="AG204" s="15" t="s">
        <v>387</v>
      </c>
      <c r="AI204" s="16">
        <f t="shared" si="65"/>
        <v>136</v>
      </c>
      <c r="AJ204" s="66">
        <f t="shared" si="45"/>
        <v>66.112954166609299</v>
      </c>
      <c r="AK204" s="19" t="str">
        <f t="shared" si="66"/>
        <v>)|\\..</v>
      </c>
      <c r="AL204" s="15" t="str">
        <f t="shared" si="66"/>
        <v>)!//''</v>
      </c>
      <c r="AM204" s="19"/>
      <c r="AN204" s="16">
        <f t="shared" si="67"/>
        <v>136</v>
      </c>
      <c r="AO204" s="7">
        <f t="shared" si="68"/>
        <v>66.112954166609299</v>
      </c>
      <c r="AP204" s="57" t="s">
        <v>575</v>
      </c>
      <c r="AQ204" s="68" t="s">
        <v>576</v>
      </c>
    </row>
    <row r="205" spans="1:43" ht="13.5">
      <c r="A205" s="191" t="s">
        <v>580</v>
      </c>
      <c r="B205" s="198">
        <f>2^28</f>
        <v>268435456</v>
      </c>
      <c r="C205" s="198">
        <f>3^13*5^2*7</f>
        <v>279006525</v>
      </c>
      <c r="D205" s="186">
        <f t="shared" si="60"/>
        <v>66.868345448830993</v>
      </c>
      <c r="E205" s="180" t="s">
        <v>578</v>
      </c>
      <c r="F205" s="192" t="s">
        <v>580</v>
      </c>
      <c r="G205" s="182"/>
      <c r="J205" s="126"/>
      <c r="M205" s="126"/>
      <c r="T205" s="67"/>
      <c r="U205" s="13"/>
      <c r="V205" s="13"/>
      <c r="W205" s="12"/>
      <c r="Y205" s="16"/>
      <c r="Z205" s="13"/>
      <c r="AA205" s="13"/>
      <c r="AB205" s="12"/>
      <c r="AD205" s="16"/>
      <c r="AE205" s="13"/>
      <c r="AF205" s="13"/>
      <c r="AG205" s="22"/>
      <c r="AI205" s="16">
        <f t="shared" si="65"/>
        <v>137</v>
      </c>
      <c r="AJ205" s="66">
        <f t="shared" si="45"/>
        <v>66.600872647543682</v>
      </c>
      <c r="AK205" s="19" t="str">
        <f t="shared" si="66"/>
        <v>)|\\.</v>
      </c>
      <c r="AL205" s="15" t="str">
        <f t="shared" si="66"/>
        <v>)!//'</v>
      </c>
      <c r="AM205" s="19"/>
      <c r="AN205" s="16">
        <f t="shared" si="67"/>
        <v>137</v>
      </c>
      <c r="AO205" s="7">
        <f t="shared" si="68"/>
        <v>66.600872647543682</v>
      </c>
      <c r="AP205" s="19" t="s">
        <v>578</v>
      </c>
      <c r="AQ205" s="15" t="s">
        <v>579</v>
      </c>
    </row>
    <row r="206" spans="1:43" ht="13.5">
      <c r="A206" s="141" t="s">
        <v>363</v>
      </c>
      <c r="B206" s="141">
        <f>2^16*13</f>
        <v>851968</v>
      </c>
      <c r="C206" s="141">
        <f>3^11*5</f>
        <v>885735</v>
      </c>
      <c r="D206" s="143">
        <f t="shared" si="60"/>
        <v>67.291061614785647</v>
      </c>
      <c r="E206" s="144" t="s">
        <v>386</v>
      </c>
      <c r="F206" s="170" t="s">
        <v>363</v>
      </c>
      <c r="G206" s="171"/>
      <c r="H206" s="170" t="s">
        <v>363</v>
      </c>
      <c r="I206" s="172"/>
      <c r="J206" s="171"/>
      <c r="K206" s="170" t="s">
        <v>363</v>
      </c>
      <c r="L206" s="172"/>
      <c r="M206" s="171"/>
      <c r="T206" s="67"/>
      <c r="U206" s="13"/>
      <c r="V206" s="13"/>
      <c r="W206" s="12"/>
      <c r="Y206" s="16"/>
      <c r="Z206" s="13"/>
      <c r="AA206" s="13"/>
      <c r="AB206" s="12"/>
      <c r="AD206" s="16"/>
      <c r="AE206" s="13"/>
      <c r="AF206" s="13"/>
      <c r="AG206" s="22"/>
      <c r="AI206" s="16">
        <f t="shared" si="65"/>
        <v>138</v>
      </c>
      <c r="AJ206" s="66">
        <f t="shared" si="45"/>
        <v>67.088791128478064</v>
      </c>
      <c r="AK206" s="19" t="str">
        <f t="shared" si="66"/>
        <v>)|\\</v>
      </c>
      <c r="AL206" s="15" t="str">
        <f t="shared" si="66"/>
        <v>)!//</v>
      </c>
      <c r="AM206" s="19"/>
      <c r="AN206" s="16">
        <f t="shared" si="67"/>
        <v>138</v>
      </c>
      <c r="AO206" s="7">
        <f t="shared" si="68"/>
        <v>67.088791128478064</v>
      </c>
      <c r="AP206" s="19" t="s">
        <v>386</v>
      </c>
      <c r="AQ206" s="15" t="s">
        <v>387</v>
      </c>
    </row>
    <row r="207" spans="1:43" ht="13.5">
      <c r="A207" s="185" t="s">
        <v>360</v>
      </c>
      <c r="B207" s="185">
        <f>5^2</f>
        <v>25</v>
      </c>
      <c r="C207" s="185">
        <f>2*13</f>
        <v>26</v>
      </c>
      <c r="D207" s="186">
        <f t="shared" si="60"/>
        <v>67.90023403964102</v>
      </c>
      <c r="E207" s="180" t="s">
        <v>388</v>
      </c>
      <c r="F207" s="187" t="s">
        <v>360</v>
      </c>
      <c r="G207" s="182"/>
      <c r="J207" s="126"/>
      <c r="M207" s="126"/>
      <c r="T207" s="67"/>
      <c r="U207" s="13"/>
      <c r="V207" s="13"/>
      <c r="W207" s="12"/>
      <c r="Y207" s="16"/>
      <c r="Z207" s="13"/>
      <c r="AA207" s="13"/>
      <c r="AB207" s="12"/>
      <c r="AD207" s="16"/>
      <c r="AE207" s="13"/>
      <c r="AF207" s="13"/>
      <c r="AG207" s="22"/>
      <c r="AI207" s="16">
        <f t="shared" si="65"/>
        <v>139</v>
      </c>
      <c r="AJ207" s="66">
        <f t="shared" si="45"/>
        <v>67.576709609412447</v>
      </c>
      <c r="AK207" s="19" t="str">
        <f t="shared" si="66"/>
        <v>)|\\'</v>
      </c>
      <c r="AL207" s="15" t="str">
        <f t="shared" si="66"/>
        <v>)!//.</v>
      </c>
      <c r="AM207" s="19"/>
      <c r="AN207" s="16">
        <f t="shared" si="67"/>
        <v>139</v>
      </c>
      <c r="AO207" s="7">
        <f t="shared" si="68"/>
        <v>67.576709609412447</v>
      </c>
      <c r="AP207" s="19" t="s">
        <v>388</v>
      </c>
      <c r="AQ207" s="15" t="s">
        <v>389</v>
      </c>
    </row>
    <row r="208" spans="1:43" ht="13.5">
      <c r="A208" s="17"/>
      <c r="B208" s="17"/>
      <c r="C208" s="17"/>
      <c r="D208" s="17"/>
      <c r="E208" s="72"/>
      <c r="T208" s="71">
        <v>13</v>
      </c>
      <c r="U208" s="17">
        <f>$AO208</f>
        <v>68.064628090346844</v>
      </c>
      <c r="V208" s="17"/>
      <c r="W208" s="72"/>
      <c r="Y208" s="23">
        <v>29</v>
      </c>
      <c r="Z208" s="17">
        <f>$AO208</f>
        <v>68.064628090346844</v>
      </c>
      <c r="AA208" s="17"/>
      <c r="AB208" s="72"/>
      <c r="AD208" s="23">
        <v>35</v>
      </c>
      <c r="AE208" s="17">
        <f>$AO208</f>
        <v>68.064628090346844</v>
      </c>
      <c r="AF208" s="17"/>
      <c r="AG208" s="53"/>
      <c r="AI208" s="23">
        <f t="shared" si="65"/>
        <v>140</v>
      </c>
      <c r="AJ208" s="69">
        <f t="shared" si="45"/>
        <v>68.064628090346844</v>
      </c>
      <c r="AK208" s="26"/>
      <c r="AL208" s="32"/>
      <c r="AN208" s="23">
        <f t="shared" si="67"/>
        <v>140</v>
      </c>
      <c r="AO208" s="24">
        <f t="shared" si="68"/>
        <v>68.064628090346844</v>
      </c>
      <c r="AP208" s="42"/>
      <c r="AQ208" s="52"/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Secor</dc:creator>
  <cp:lastModifiedBy>David Keenan</cp:lastModifiedBy>
  <dcterms:created xsi:type="dcterms:W3CDTF">2003-04-26T02:20:22Z</dcterms:created>
  <dcterms:modified xsi:type="dcterms:W3CDTF">2020-05-15T08:55:23Z</dcterms:modified>
</cp:coreProperties>
</file>