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679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2" i="1"/>
  <c r="M3"/>
  <c r="B5"/>
  <c r="E5"/>
  <c r="H5"/>
  <c r="K5"/>
  <c r="N5"/>
  <c r="P5"/>
  <c r="T5" s="1"/>
  <c r="V5" s="1"/>
  <c r="W5"/>
  <c r="L6"/>
  <c r="M6"/>
  <c r="J6" s="1"/>
  <c r="O6"/>
  <c r="P6"/>
  <c r="T6" s="1"/>
  <c r="R6"/>
  <c r="S6"/>
  <c r="U6"/>
  <c r="W6" s="1"/>
  <c r="R7"/>
  <c r="S7"/>
  <c r="P7" s="1"/>
  <c r="M7" s="1"/>
  <c r="O7" s="1"/>
  <c r="L8"/>
  <c r="M8"/>
  <c r="J8" s="1"/>
  <c r="O8"/>
  <c r="R8"/>
  <c r="S8"/>
  <c r="P8" s="1"/>
  <c r="T8" s="1"/>
  <c r="U8"/>
  <c r="H9"/>
  <c r="O9"/>
  <c r="M9" s="1"/>
  <c r="R9"/>
  <c r="S9"/>
  <c r="P9" s="1"/>
  <c r="W9"/>
  <c r="I10"/>
  <c r="R10"/>
  <c r="S10"/>
  <c r="P10" s="1"/>
  <c r="T10" s="1"/>
  <c r="W10"/>
  <c r="R11"/>
  <c r="S11"/>
  <c r="P11" s="1"/>
  <c r="R12"/>
  <c r="P12" s="1"/>
  <c r="S12"/>
  <c r="R13"/>
  <c r="S13"/>
  <c r="P13" s="1"/>
  <c r="R14"/>
  <c r="S14"/>
  <c r="P14" s="1"/>
  <c r="T14" s="1"/>
  <c r="W14"/>
  <c r="P15"/>
  <c r="R15"/>
  <c r="S15"/>
  <c r="P16"/>
  <c r="R16"/>
  <c r="S16"/>
  <c r="R17"/>
  <c r="S17"/>
  <c r="P17" s="1"/>
  <c r="R18"/>
  <c r="S18"/>
  <c r="P18" s="1"/>
  <c r="R19"/>
  <c r="S19"/>
  <c r="P19" s="1"/>
  <c r="W19"/>
  <c r="R20"/>
  <c r="P20" s="1"/>
  <c r="S20"/>
  <c r="P21"/>
  <c r="R21"/>
  <c r="S21"/>
  <c r="H22"/>
  <c r="R22"/>
  <c r="P22" s="1"/>
  <c r="S22"/>
  <c r="W22"/>
  <c r="I23"/>
  <c r="P23"/>
  <c r="R23"/>
  <c r="S23"/>
  <c r="R24"/>
  <c r="S24"/>
  <c r="P24" s="1"/>
  <c r="M24" s="1"/>
  <c r="R25"/>
  <c r="S25"/>
  <c r="P25" s="1"/>
  <c r="M26" s="1"/>
  <c r="W25"/>
  <c r="R26"/>
  <c r="P26" s="1"/>
  <c r="S26"/>
  <c r="B27"/>
  <c r="H27"/>
  <c r="I27"/>
  <c r="P27"/>
  <c r="R27"/>
  <c r="S27"/>
  <c r="R28"/>
  <c r="S28"/>
  <c r="P28" s="1"/>
  <c r="M28" s="1"/>
  <c r="R29"/>
  <c r="S29"/>
  <c r="P29" s="1"/>
  <c r="W29"/>
  <c r="R30"/>
  <c r="P30" s="1"/>
  <c r="S30"/>
  <c r="R31"/>
  <c r="S31"/>
  <c r="P31" s="1"/>
  <c r="R32"/>
  <c r="S32"/>
  <c r="P32" s="1"/>
  <c r="R33"/>
  <c r="P33" s="1"/>
  <c r="T33" s="1"/>
  <c r="S33"/>
  <c r="R34"/>
  <c r="P34" s="1"/>
  <c r="S34"/>
  <c r="R35"/>
  <c r="P35" s="1"/>
  <c r="S35"/>
  <c r="R36"/>
  <c r="S36"/>
  <c r="P36" s="1"/>
  <c r="R37"/>
  <c r="P37" s="1"/>
  <c r="S37"/>
  <c r="R38"/>
  <c r="P38" s="1"/>
  <c r="M39" s="1"/>
  <c r="S38"/>
  <c r="W38"/>
  <c r="P39"/>
  <c r="R39"/>
  <c r="S39"/>
  <c r="H40"/>
  <c r="I40"/>
  <c r="R40"/>
  <c r="P40" s="1"/>
  <c r="T40" s="1"/>
  <c r="S40"/>
  <c r="W40"/>
  <c r="H41"/>
  <c r="I41"/>
  <c r="R41"/>
  <c r="S41"/>
  <c r="P41" s="1"/>
  <c r="M42" s="1"/>
  <c r="R42"/>
  <c r="P42" s="1"/>
  <c r="S42"/>
  <c r="W42"/>
  <c r="R43"/>
  <c r="S43"/>
  <c r="P43" s="1"/>
  <c r="M44" s="1"/>
  <c r="P44"/>
  <c r="R44"/>
  <c r="S44"/>
  <c r="R45"/>
  <c r="P45" s="1"/>
  <c r="S45"/>
  <c r="R46"/>
  <c r="S46"/>
  <c r="P46" s="1"/>
  <c r="R47"/>
  <c r="S47"/>
  <c r="P47" s="1"/>
  <c r="R48"/>
  <c r="S48"/>
  <c r="P48" s="1"/>
  <c r="M49" s="1"/>
  <c r="W48"/>
  <c r="R49"/>
  <c r="S49"/>
  <c r="P49" s="1"/>
  <c r="T49" s="1"/>
  <c r="W49"/>
  <c r="R50"/>
  <c r="S50"/>
  <c r="P50" s="1"/>
  <c r="R51"/>
  <c r="P51" s="1"/>
  <c r="M52" s="1"/>
  <c r="S51"/>
  <c r="R52"/>
  <c r="S52"/>
  <c r="P52" s="1"/>
  <c r="R53"/>
  <c r="S53"/>
  <c r="P53" s="1"/>
  <c r="M54" s="1"/>
  <c r="R54"/>
  <c r="P54" s="1"/>
  <c r="S54"/>
  <c r="R55"/>
  <c r="P55" s="1"/>
  <c r="S55"/>
  <c r="W55"/>
  <c r="P56"/>
  <c r="R56"/>
  <c r="S56"/>
  <c r="W56"/>
  <c r="R57"/>
  <c r="P57" s="1"/>
  <c r="S57"/>
  <c r="E58"/>
  <c r="F58"/>
  <c r="R58"/>
  <c r="P58" s="1"/>
  <c r="S58"/>
  <c r="R59"/>
  <c r="S59"/>
  <c r="P59" s="1"/>
  <c r="T59" s="1"/>
  <c r="W59"/>
  <c r="E60"/>
  <c r="F60"/>
  <c r="R60"/>
  <c r="P60" s="1"/>
  <c r="S60"/>
  <c r="R61"/>
  <c r="S61"/>
  <c r="P61" s="1"/>
  <c r="W61"/>
  <c r="P62"/>
  <c r="R62"/>
  <c r="S62"/>
  <c r="R63"/>
  <c r="P63" s="1"/>
  <c r="S63"/>
  <c r="R64"/>
  <c r="S64"/>
  <c r="P64" s="1"/>
  <c r="R65"/>
  <c r="S65"/>
  <c r="P65" s="1"/>
  <c r="W65"/>
  <c r="R66"/>
  <c r="S66"/>
  <c r="P66" s="1"/>
  <c r="W66"/>
  <c r="H67"/>
  <c r="I67"/>
  <c r="P67"/>
  <c r="R67"/>
  <c r="S67"/>
  <c r="R68"/>
  <c r="S68"/>
  <c r="P68" s="1"/>
  <c r="W68"/>
  <c r="R69"/>
  <c r="P69" s="1"/>
  <c r="S69"/>
  <c r="W69"/>
  <c r="R70"/>
  <c r="S70"/>
  <c r="P70" s="1"/>
  <c r="M71" s="1"/>
  <c r="P71"/>
  <c r="R71"/>
  <c r="S71"/>
  <c r="P72"/>
  <c r="T72" s="1"/>
  <c r="R72"/>
  <c r="S72"/>
  <c r="W72"/>
  <c r="R73"/>
  <c r="P73" s="1"/>
  <c r="S73"/>
  <c r="R74"/>
  <c r="P74" s="1"/>
  <c r="S74"/>
  <c r="R75"/>
  <c r="S75"/>
  <c r="P75" s="1"/>
  <c r="H76"/>
  <c r="P76"/>
  <c r="R76"/>
  <c r="S76"/>
  <c r="W76"/>
  <c r="I77"/>
  <c r="R77"/>
  <c r="S77"/>
  <c r="P77" s="1"/>
  <c r="W77"/>
  <c r="K78"/>
  <c r="P78"/>
  <c r="R78"/>
  <c r="S78"/>
  <c r="H79"/>
  <c r="I79"/>
  <c r="P79"/>
  <c r="M79" s="1"/>
  <c r="R79"/>
  <c r="S79"/>
  <c r="H80"/>
  <c r="I80"/>
  <c r="P80"/>
  <c r="R80"/>
  <c r="S80"/>
  <c r="P81"/>
  <c r="T81" s="1"/>
  <c r="R81"/>
  <c r="S81"/>
  <c r="W81"/>
  <c r="I82"/>
  <c r="K82"/>
  <c r="R82"/>
  <c r="S82"/>
  <c r="P82" s="1"/>
  <c r="M82" s="1"/>
  <c r="P83"/>
  <c r="R84"/>
  <c r="S84"/>
  <c r="P84" s="1"/>
  <c r="M84" s="1"/>
  <c r="W84"/>
  <c r="R85"/>
  <c r="P85" s="1"/>
  <c r="S85"/>
  <c r="R86"/>
  <c r="S86"/>
  <c r="P86" s="1"/>
  <c r="R87"/>
  <c r="S87"/>
  <c r="P87" s="1"/>
  <c r="R88"/>
  <c r="S88"/>
  <c r="P88" s="1"/>
  <c r="T88" s="1"/>
  <c r="W88"/>
  <c r="R89"/>
  <c r="S89"/>
  <c r="P89" s="1"/>
  <c r="M90" s="1"/>
  <c r="P90"/>
  <c r="R90"/>
  <c r="S90"/>
  <c r="P91"/>
  <c r="R91"/>
  <c r="S91"/>
  <c r="R92"/>
  <c r="S92"/>
  <c r="P92" s="1"/>
  <c r="R93"/>
  <c r="S93"/>
  <c r="P93" s="1"/>
  <c r="W93"/>
  <c r="R94"/>
  <c r="P94" s="1"/>
  <c r="S94"/>
  <c r="R95"/>
  <c r="S95"/>
  <c r="P95" s="1"/>
  <c r="H96"/>
  <c r="R96"/>
  <c r="S96"/>
  <c r="P96" s="1"/>
  <c r="R97"/>
  <c r="S97"/>
  <c r="P97" s="1"/>
  <c r="T97" s="1"/>
  <c r="W97"/>
  <c r="H98"/>
  <c r="I98"/>
  <c r="R98"/>
  <c r="S98"/>
  <c r="P98" s="1"/>
  <c r="W98"/>
  <c r="I99"/>
  <c r="R99"/>
  <c r="S99"/>
  <c r="P99" s="1"/>
  <c r="M100" s="1"/>
  <c r="W99"/>
  <c r="P100"/>
  <c r="T100" s="1"/>
  <c r="R100"/>
  <c r="S100"/>
  <c r="P101"/>
  <c r="R101"/>
  <c r="S101"/>
  <c r="R102"/>
  <c r="S102"/>
  <c r="P102" s="1"/>
  <c r="M102" s="1"/>
  <c r="R103"/>
  <c r="S103"/>
  <c r="P103" s="1"/>
  <c r="R104"/>
  <c r="S104"/>
  <c r="P104" s="1"/>
  <c r="W104"/>
  <c r="R105"/>
  <c r="S105"/>
  <c r="P105" s="1"/>
  <c r="R106"/>
  <c r="S106"/>
  <c r="P106" s="1"/>
  <c r="M107" s="1"/>
  <c r="P107"/>
  <c r="R107"/>
  <c r="S107"/>
  <c r="W107"/>
  <c r="R108"/>
  <c r="S108"/>
  <c r="P108" s="1"/>
  <c r="H109"/>
  <c r="R109"/>
  <c r="S109"/>
  <c r="P109" s="1"/>
  <c r="R110"/>
  <c r="S110"/>
  <c r="P110" s="1"/>
  <c r="M111" s="1"/>
  <c r="W110"/>
  <c r="B111"/>
  <c r="I111"/>
  <c r="K111"/>
  <c r="R111"/>
  <c r="S111"/>
  <c r="P111" s="1"/>
  <c r="R112"/>
  <c r="S112"/>
  <c r="P112" s="1"/>
  <c r="T112" s="1"/>
  <c r="W112"/>
  <c r="R113"/>
  <c r="S113"/>
  <c r="R114"/>
  <c r="S114"/>
  <c r="P114" s="1"/>
  <c r="K115"/>
  <c r="R115"/>
  <c r="P115" s="1"/>
  <c r="S115"/>
  <c r="R116"/>
  <c r="P116" s="1"/>
  <c r="S116"/>
  <c r="W116"/>
  <c r="E117"/>
  <c r="H117"/>
  <c r="I117"/>
  <c r="R117"/>
  <c r="P117" s="1"/>
  <c r="S117"/>
  <c r="W117"/>
  <c r="H118"/>
  <c r="I118"/>
  <c r="K118"/>
  <c r="R118"/>
  <c r="S118"/>
  <c r="P118" s="1"/>
  <c r="W118"/>
  <c r="F119"/>
  <c r="P119"/>
  <c r="R119"/>
  <c r="S119"/>
  <c r="P120"/>
  <c r="R120"/>
  <c r="S120"/>
  <c r="P121"/>
  <c r="R121"/>
  <c r="S121"/>
  <c r="W121"/>
  <c r="R122"/>
  <c r="S122"/>
  <c r="P122" s="1"/>
  <c r="R123"/>
  <c r="S123"/>
  <c r="P123" s="1"/>
  <c r="M124" s="1"/>
  <c r="P124"/>
  <c r="R124"/>
  <c r="S124"/>
  <c r="U124"/>
  <c r="H125"/>
  <c r="I125"/>
  <c r="R125"/>
  <c r="S125"/>
  <c r="P125" s="1"/>
  <c r="T125" s="1"/>
  <c r="W125"/>
  <c r="R126"/>
  <c r="S126"/>
  <c r="P126" s="1"/>
  <c r="M127" s="1"/>
  <c r="P127"/>
  <c r="R127"/>
  <c r="S127"/>
  <c r="U127"/>
  <c r="P128"/>
  <c r="R128"/>
  <c r="S128"/>
  <c r="W128"/>
  <c r="R129"/>
  <c r="S129"/>
  <c r="P129" s="1"/>
  <c r="W129"/>
  <c r="P130"/>
  <c r="R130"/>
  <c r="S130"/>
  <c r="U130"/>
  <c r="R131"/>
  <c r="S131"/>
  <c r="P131" s="1"/>
  <c r="R132"/>
  <c r="S132"/>
  <c r="P132" s="1"/>
  <c r="R133"/>
  <c r="S133"/>
  <c r="P133" s="1"/>
  <c r="T133" s="1"/>
  <c r="W133"/>
  <c r="R134"/>
  <c r="S134"/>
  <c r="P134" s="1"/>
  <c r="R135"/>
  <c r="S135"/>
  <c r="P135" s="1"/>
  <c r="T135"/>
  <c r="R136"/>
  <c r="S136"/>
  <c r="P136" s="1"/>
  <c r="R137"/>
  <c r="P137" s="1"/>
  <c r="S137"/>
  <c r="W137"/>
  <c r="R138"/>
  <c r="S138"/>
  <c r="P138" s="1"/>
  <c r="P139"/>
  <c r="R139"/>
  <c r="S139"/>
  <c r="P140"/>
  <c r="T140" s="1"/>
  <c r="R140"/>
  <c r="S140"/>
  <c r="W140"/>
  <c r="R141"/>
  <c r="P141" s="1"/>
  <c r="S141"/>
  <c r="R142"/>
  <c r="P142" s="1"/>
  <c r="P143"/>
  <c r="R143"/>
  <c r="S143"/>
  <c r="U143"/>
  <c r="P144"/>
  <c r="R144"/>
  <c r="S144"/>
  <c r="U144"/>
  <c r="P145"/>
  <c r="T145" s="1"/>
  <c r="R145"/>
  <c r="S145"/>
  <c r="W145"/>
  <c r="R146"/>
  <c r="P146" s="1"/>
  <c r="M147" s="1"/>
  <c r="S146"/>
  <c r="R147"/>
  <c r="S147"/>
  <c r="P147" s="1"/>
  <c r="H148"/>
  <c r="I148"/>
  <c r="R148"/>
  <c r="S148"/>
  <c r="P148" s="1"/>
  <c r="T148" s="1"/>
  <c r="W148"/>
  <c r="R149"/>
  <c r="S149"/>
  <c r="P149" s="1"/>
  <c r="T149"/>
  <c r="R150"/>
  <c r="S150"/>
  <c r="P150" s="1"/>
  <c r="T150"/>
  <c r="W150"/>
  <c r="P151"/>
  <c r="R151"/>
  <c r="S151"/>
  <c r="U151"/>
  <c r="B152"/>
  <c r="H152"/>
  <c r="I152"/>
  <c r="K152"/>
  <c r="M152"/>
  <c r="R152"/>
  <c r="S152"/>
  <c r="P152" s="1"/>
  <c r="W152"/>
  <c r="R153"/>
  <c r="S153"/>
  <c r="P153" s="1"/>
  <c r="R154"/>
  <c r="P154" s="1"/>
  <c r="S154"/>
  <c r="R155"/>
  <c r="P155" s="1"/>
  <c r="S155"/>
  <c r="R156"/>
  <c r="P156" s="1"/>
  <c r="M157" s="1"/>
  <c r="S156"/>
  <c r="W156"/>
  <c r="R157"/>
  <c r="S157"/>
  <c r="P157" s="1"/>
  <c r="T157" s="1"/>
  <c r="R158"/>
  <c r="S158"/>
  <c r="P158" s="1"/>
  <c r="R159"/>
  <c r="P159" s="1"/>
  <c r="S159"/>
  <c r="R160"/>
  <c r="P160" s="1"/>
  <c r="T160" s="1"/>
  <c r="S160"/>
  <c r="W160"/>
  <c r="K161"/>
  <c r="P161"/>
  <c r="T161"/>
  <c r="H162"/>
  <c r="I162"/>
  <c r="P162"/>
  <c r="R162"/>
  <c r="S162"/>
  <c r="W162"/>
  <c r="R163"/>
  <c r="P163" s="1"/>
  <c r="S163"/>
  <c r="E164"/>
  <c r="F164"/>
  <c r="L164"/>
  <c r="R164"/>
  <c r="S164"/>
  <c r="P164" s="1"/>
  <c r="L165"/>
  <c r="M165"/>
  <c r="J165" s="1"/>
  <c r="O165"/>
  <c r="R165"/>
  <c r="S165"/>
  <c r="P165" s="1"/>
  <c r="T165" s="1"/>
  <c r="W165"/>
  <c r="B166"/>
  <c r="E166"/>
  <c r="F166"/>
  <c r="L166"/>
  <c r="M166"/>
  <c r="O166"/>
  <c r="R166"/>
  <c r="S166"/>
  <c r="P166" s="1"/>
  <c r="W166"/>
  <c r="O167"/>
  <c r="R167"/>
  <c r="S167"/>
  <c r="P167" s="1"/>
  <c r="H168"/>
  <c r="P168"/>
  <c r="R168"/>
  <c r="S168"/>
  <c r="P169"/>
  <c r="M170" s="1"/>
  <c r="R169"/>
  <c r="S169"/>
  <c r="W169"/>
  <c r="I170"/>
  <c r="K170"/>
  <c r="R170"/>
  <c r="S170"/>
  <c r="P170" s="1"/>
  <c r="R171"/>
  <c r="S171"/>
  <c r="P171" s="1"/>
  <c r="T171" s="1"/>
  <c r="W171"/>
  <c r="R172"/>
  <c r="S172"/>
  <c r="P172" s="1"/>
  <c r="T172"/>
  <c r="X172"/>
  <c r="R173"/>
  <c r="P173" s="1"/>
  <c r="S173"/>
  <c r="R174"/>
  <c r="P174" s="1"/>
  <c r="S174"/>
  <c r="W174"/>
  <c r="P175"/>
  <c r="R175"/>
  <c r="S175"/>
  <c r="U175"/>
  <c r="P176"/>
  <c r="R176"/>
  <c r="S176"/>
  <c r="P177"/>
  <c r="R177"/>
  <c r="S177"/>
  <c r="H178"/>
  <c r="R178"/>
  <c r="P178" s="1"/>
  <c r="S178"/>
  <c r="K179"/>
  <c r="P179"/>
  <c r="R179"/>
  <c r="S179"/>
  <c r="W179"/>
  <c r="I180"/>
  <c r="R180"/>
  <c r="S180"/>
  <c r="P180" s="1"/>
  <c r="M180" s="1"/>
  <c r="R181"/>
  <c r="S181"/>
  <c r="P181" s="1"/>
  <c r="W181"/>
  <c r="R182"/>
  <c r="S182"/>
  <c r="P182" s="1"/>
  <c r="T182"/>
  <c r="H183"/>
  <c r="R183"/>
  <c r="P183" s="1"/>
  <c r="T183" s="1"/>
  <c r="S183"/>
  <c r="W183"/>
  <c r="I184"/>
  <c r="R184"/>
  <c r="S184"/>
  <c r="P184" s="1"/>
  <c r="M185" s="1"/>
  <c r="T184"/>
  <c r="R185"/>
  <c r="P185" s="1"/>
  <c r="S185"/>
  <c r="R186"/>
  <c r="P186" s="1"/>
  <c r="T186" s="1"/>
  <c r="S186"/>
  <c r="W186"/>
  <c r="R187"/>
  <c r="S187"/>
  <c r="P187" s="1"/>
  <c r="R188"/>
  <c r="S188"/>
  <c r="P188" s="1"/>
  <c r="P189"/>
  <c r="R189"/>
  <c r="S189"/>
  <c r="P190"/>
  <c r="R190"/>
  <c r="S190"/>
  <c r="P191"/>
  <c r="T191" s="1"/>
  <c r="R191"/>
  <c r="S191"/>
  <c r="W191"/>
  <c r="R192"/>
  <c r="P192" s="1"/>
  <c r="S192"/>
  <c r="D3" i="2"/>
  <c r="D4"/>
  <c r="D5"/>
  <c r="D6"/>
  <c r="D7"/>
  <c r="D8"/>
  <c r="D9"/>
  <c r="D10"/>
  <c r="B11"/>
  <c r="C11"/>
  <c r="D11" s="1"/>
  <c r="B12"/>
  <c r="D12" s="1"/>
  <c r="C12"/>
  <c r="B13"/>
  <c r="C13"/>
  <c r="B14"/>
  <c r="C14"/>
  <c r="D14" s="1"/>
  <c r="D15"/>
  <c r="D16"/>
  <c r="D17"/>
  <c r="D18"/>
  <c r="D19"/>
  <c r="D20"/>
  <c r="D21"/>
  <c r="D22"/>
  <c r="D23"/>
  <c r="D24"/>
  <c r="D25"/>
  <c r="B26"/>
  <c r="C26"/>
  <c r="D26" s="1"/>
  <c r="B27"/>
  <c r="C27"/>
  <c r="D27"/>
  <c r="B28"/>
  <c r="C28"/>
  <c r="D28"/>
  <c r="B29"/>
  <c r="C29"/>
  <c r="D29"/>
  <c r="B30"/>
  <c r="C30"/>
  <c r="D30" s="1"/>
  <c r="B31"/>
  <c r="D31" s="1"/>
  <c r="C31"/>
  <c r="B32"/>
  <c r="C32"/>
  <c r="D32"/>
  <c r="B33"/>
  <c r="D33" s="1"/>
  <c r="C33"/>
  <c r="D34"/>
  <c r="B35"/>
  <c r="C35"/>
  <c r="D35"/>
  <c r="D36"/>
  <c r="D37"/>
  <c r="D38"/>
  <c r="D39"/>
  <c r="D40"/>
  <c r="B41"/>
  <c r="D41" s="1"/>
  <c r="C41"/>
  <c r="B42"/>
  <c r="C42"/>
  <c r="B43"/>
  <c r="C43"/>
  <c r="D44"/>
  <c r="D45"/>
  <c r="B46"/>
  <c r="C46"/>
  <c r="D46" s="1"/>
  <c r="D47"/>
  <c r="D48"/>
  <c r="D49"/>
  <c r="D50"/>
  <c r="D51"/>
  <c r="D52"/>
  <c r="B53"/>
  <c r="C53"/>
  <c r="D53"/>
  <c r="B54"/>
  <c r="C54"/>
  <c r="D54" s="1"/>
  <c r="B55"/>
  <c r="C55"/>
  <c r="D55"/>
  <c r="D56"/>
  <c r="D57"/>
  <c r="D58"/>
  <c r="D59"/>
  <c r="B60"/>
  <c r="C60"/>
  <c r="D60"/>
  <c r="D61"/>
  <c r="D62"/>
  <c r="D63"/>
  <c r="D64"/>
  <c r="D65"/>
  <c r="D66"/>
  <c r="D67"/>
  <c r="D68"/>
  <c r="D69"/>
  <c r="D70"/>
  <c r="D71"/>
  <c r="D72"/>
  <c r="B73"/>
  <c r="C73"/>
  <c r="D73"/>
  <c r="B74"/>
  <c r="C74"/>
  <c r="D74" s="1"/>
  <c r="D75"/>
  <c r="D76"/>
  <c r="D77"/>
  <c r="B78"/>
  <c r="C78"/>
  <c r="D78" s="1"/>
  <c r="B79"/>
  <c r="C79"/>
  <c r="D80"/>
  <c r="D81"/>
  <c r="D82"/>
  <c r="D83"/>
  <c r="D84"/>
  <c r="D85"/>
  <c r="B86"/>
  <c r="D86" s="1"/>
  <c r="C86"/>
  <c r="B87"/>
  <c r="C87"/>
  <c r="B88"/>
  <c r="C88"/>
  <c r="D88"/>
  <c r="D89"/>
  <c r="B90"/>
  <c r="C90"/>
  <c r="D90"/>
  <c r="D91"/>
  <c r="B92"/>
  <c r="C92"/>
  <c r="D92"/>
  <c r="D93"/>
  <c r="B94"/>
  <c r="C94"/>
  <c r="D94"/>
  <c r="D95"/>
  <c r="B96"/>
  <c r="C96"/>
  <c r="D96"/>
  <c r="D97"/>
  <c r="D98"/>
  <c r="D99"/>
  <c r="D100"/>
  <c r="B101"/>
  <c r="C101"/>
  <c r="D101"/>
  <c r="D102"/>
  <c r="D103"/>
  <c r="D104"/>
  <c r="D105"/>
  <c r="D106"/>
  <c r="D107"/>
  <c r="D108"/>
  <c r="D109"/>
  <c r="B110"/>
  <c r="D110" s="1"/>
  <c r="C110"/>
  <c r="D111"/>
  <c r="D112"/>
  <c r="D113"/>
  <c r="B114"/>
  <c r="C114"/>
  <c r="D114" s="1"/>
  <c r="D115"/>
  <c r="D116"/>
  <c r="D117"/>
  <c r="D118"/>
  <c r="D119"/>
  <c r="D120"/>
  <c r="D121"/>
  <c r="D122"/>
  <c r="D123"/>
  <c r="B124"/>
  <c r="C124"/>
  <c r="D124" s="1"/>
  <c r="B125"/>
  <c r="C125"/>
  <c r="D125" s="1"/>
  <c r="B126"/>
  <c r="D126" s="1"/>
  <c r="C126"/>
  <c r="B127"/>
  <c r="C127"/>
  <c r="D127" s="1"/>
  <c r="B128"/>
  <c r="C128"/>
  <c r="D128"/>
  <c r="D129"/>
  <c r="D130"/>
  <c r="D131"/>
  <c r="D132"/>
  <c r="D133"/>
  <c r="D134"/>
  <c r="B135"/>
  <c r="C135"/>
  <c r="D135" s="1"/>
  <c r="D136"/>
  <c r="D137"/>
  <c r="D138"/>
  <c r="B139"/>
  <c r="C139"/>
  <c r="D139" s="1"/>
  <c r="B140"/>
  <c r="D140" s="1"/>
  <c r="C140"/>
  <c r="B141"/>
  <c r="C141"/>
  <c r="D141" s="1"/>
  <c r="D142"/>
  <c r="D143"/>
  <c r="D144"/>
  <c r="D145"/>
  <c r="D146"/>
  <c r="D147"/>
  <c r="B148"/>
  <c r="D148" s="1"/>
  <c r="C148"/>
  <c r="D149"/>
  <c r="D150"/>
  <c r="D151"/>
  <c r="D152"/>
  <c r="D153"/>
  <c r="D154"/>
  <c r="D155"/>
  <c r="D156"/>
  <c r="D157"/>
  <c r="D158"/>
  <c r="D159"/>
  <c r="D160"/>
  <c r="D161"/>
  <c r="D162"/>
  <c r="D163"/>
  <c r="B164"/>
  <c r="C164"/>
  <c r="D164" s="1"/>
  <c r="B165"/>
  <c r="C165"/>
  <c r="D165" s="1"/>
  <c r="B166"/>
  <c r="D166" s="1"/>
  <c r="C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B184"/>
  <c r="C184"/>
  <c r="D184"/>
  <c r="B185"/>
  <c r="C185"/>
  <c r="B186"/>
  <c r="C186"/>
  <c r="D186" s="1"/>
  <c r="D187"/>
  <c r="B188"/>
  <c r="C188"/>
  <c r="D188"/>
  <c r="B189"/>
  <c r="C189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B206"/>
  <c r="C206"/>
  <c r="D206"/>
  <c r="B207"/>
  <c r="C207"/>
  <c r="D207"/>
  <c r="B208"/>
  <c r="C208"/>
  <c r="D208" s="1"/>
  <c r="B209"/>
  <c r="C209"/>
  <c r="D209" s="1"/>
  <c r="D210"/>
  <c r="B211"/>
  <c r="C211"/>
  <c r="D211" s="1"/>
  <c r="D212"/>
  <c r="D213"/>
  <c r="D214"/>
  <c r="D215"/>
  <c r="D216"/>
  <c r="D217"/>
  <c r="D218"/>
  <c r="D219"/>
  <c r="D220"/>
  <c r="D221"/>
  <c r="B222"/>
  <c r="C222"/>
  <c r="D222" s="1"/>
  <c r="B223"/>
  <c r="C223"/>
  <c r="D223" s="1"/>
  <c r="B224"/>
  <c r="C224"/>
  <c r="D224"/>
  <c r="D225"/>
  <c r="D226"/>
  <c r="D227"/>
  <c r="D228"/>
  <c r="D229"/>
  <c r="B230"/>
  <c r="C230"/>
  <c r="D230"/>
  <c r="D231"/>
  <c r="D232"/>
  <c r="D233"/>
  <c r="D234"/>
  <c r="D235"/>
  <c r="D236"/>
  <c r="D237"/>
  <c r="D238"/>
  <c r="D239"/>
  <c r="D240"/>
  <c r="D241"/>
  <c r="D242"/>
  <c r="D243"/>
  <c r="D244"/>
  <c r="D245"/>
  <c r="B246"/>
  <c r="C246"/>
  <c r="D246" s="1"/>
  <c r="B247"/>
  <c r="C247"/>
  <c r="D247" s="1"/>
  <c r="D248"/>
  <c r="B249"/>
  <c r="C249"/>
  <c r="D249" s="1"/>
  <c r="D250"/>
  <c r="D251"/>
  <c r="B252"/>
  <c r="C252"/>
  <c r="D252" s="1"/>
  <c r="D253"/>
  <c r="D254"/>
  <c r="D255"/>
  <c r="D256"/>
  <c r="D257"/>
  <c r="D258"/>
  <c r="B259"/>
  <c r="C259"/>
  <c r="D259"/>
  <c r="B260"/>
  <c r="C260"/>
  <c r="D260" s="1"/>
  <c r="B261"/>
  <c r="C261"/>
  <c r="D261" s="1"/>
  <c r="D262"/>
  <c r="D263"/>
  <c r="D264"/>
  <c r="D265"/>
  <c r="B266"/>
  <c r="C266"/>
  <c r="D266"/>
  <c r="D267"/>
  <c r="D268"/>
  <c r="D269"/>
  <c r="D270"/>
  <c r="D271"/>
  <c r="D272"/>
  <c r="D273"/>
  <c r="D274"/>
  <c r="D275"/>
  <c r="B276"/>
  <c r="C276"/>
  <c r="D276"/>
  <c r="B277"/>
  <c r="C277"/>
  <c r="D277"/>
  <c r="B278"/>
  <c r="C278"/>
  <c r="D279"/>
  <c r="D280"/>
  <c r="D281"/>
  <c r="D282"/>
  <c r="D283"/>
  <c r="D284"/>
  <c r="D285"/>
  <c r="D286"/>
  <c r="D287"/>
  <c r="D288"/>
  <c r="D289"/>
  <c r="D290"/>
  <c r="D291"/>
  <c r="D292"/>
  <c r="B293"/>
  <c r="C293"/>
  <c r="D293"/>
  <c r="B294"/>
  <c r="C294"/>
  <c r="D294" s="1"/>
  <c r="B295"/>
  <c r="C295"/>
  <c r="D295" s="1"/>
  <c r="B296"/>
  <c r="C296"/>
  <c r="D296" s="1"/>
  <c r="D297"/>
  <c r="D298"/>
  <c r="D299"/>
  <c r="B300"/>
  <c r="C300"/>
  <c r="D300" s="1"/>
  <c r="D301"/>
  <c r="D302"/>
  <c r="D303"/>
  <c r="D304"/>
  <c r="D305"/>
  <c r="D306"/>
  <c r="D307"/>
  <c r="D308"/>
  <c r="D309"/>
  <c r="D310"/>
  <c r="B311"/>
  <c r="C311"/>
  <c r="D311"/>
  <c r="B312"/>
  <c r="C312"/>
  <c r="D313"/>
  <c r="D314"/>
  <c r="D315"/>
  <c r="D316"/>
  <c r="B317"/>
  <c r="C317"/>
  <c r="D317"/>
  <c r="D318"/>
  <c r="D319"/>
  <c r="D320"/>
  <c r="D321"/>
  <c r="D322"/>
  <c r="B323"/>
  <c r="D323" s="1"/>
  <c r="C323"/>
  <c r="B324"/>
  <c r="C324"/>
  <c r="D324"/>
  <c r="D325"/>
  <c r="B326"/>
  <c r="C326"/>
  <c r="D326"/>
  <c r="D327"/>
  <c r="B328"/>
  <c r="C328"/>
  <c r="D328"/>
  <c r="B329"/>
  <c r="D329" s="1"/>
  <c r="C329"/>
  <c r="D330"/>
  <c r="D331"/>
  <c r="D332"/>
  <c r="D333"/>
  <c r="D334"/>
  <c r="D335"/>
  <c r="D336"/>
  <c r="B337"/>
  <c r="C337"/>
  <c r="D337"/>
  <c r="B338"/>
  <c r="C338"/>
  <c r="D338"/>
  <c r="B339"/>
  <c r="C339"/>
  <c r="D339"/>
  <c r="D340"/>
  <c r="B341"/>
  <c r="D341" s="1"/>
  <c r="C341"/>
  <c r="D342"/>
  <c r="D343"/>
  <c r="B344"/>
  <c r="C344"/>
  <c r="D344"/>
  <c r="D345"/>
  <c r="D346"/>
  <c r="D347"/>
  <c r="D348"/>
  <c r="D349"/>
  <c r="D350"/>
  <c r="D351"/>
  <c r="D352"/>
  <c r="D353"/>
  <c r="D354"/>
  <c r="D355"/>
  <c r="D356"/>
  <c r="D357"/>
  <c r="B358"/>
  <c r="C358"/>
  <c r="D358" s="1"/>
  <c r="B359"/>
  <c r="C359"/>
  <c r="D359"/>
  <c r="B360"/>
  <c r="C360"/>
  <c r="D360"/>
  <c r="D361"/>
  <c r="D362"/>
  <c r="D363"/>
  <c r="B364"/>
  <c r="C364"/>
  <c r="D364" s="1"/>
  <c r="B365"/>
  <c r="C365"/>
  <c r="D365"/>
  <c r="D366"/>
  <c r="B367"/>
  <c r="C367"/>
  <c r="D367"/>
  <c r="D368"/>
  <c r="D369"/>
  <c r="D370"/>
  <c r="D371"/>
  <c r="B372"/>
  <c r="C372"/>
  <c r="D372"/>
  <c r="D373"/>
  <c r="D374"/>
  <c r="D375"/>
  <c r="D376"/>
  <c r="D377"/>
  <c r="D378"/>
  <c r="D379"/>
  <c r="D380"/>
  <c r="D381"/>
  <c r="D382"/>
  <c r="B383"/>
  <c r="C383"/>
  <c r="D383"/>
  <c r="B384"/>
  <c r="C384"/>
  <c r="D384"/>
  <c r="B385"/>
  <c r="D385" s="1"/>
  <c r="C385"/>
  <c r="B386"/>
  <c r="C386"/>
  <c r="D386" s="1"/>
  <c r="B387"/>
  <c r="C387"/>
  <c r="D387"/>
  <c r="D388"/>
  <c r="B389"/>
  <c r="C389"/>
  <c r="D389"/>
  <c r="D390"/>
  <c r="D391"/>
  <c r="D392"/>
  <c r="D393"/>
  <c r="D394"/>
  <c r="D395"/>
  <c r="D396"/>
  <c r="D397"/>
  <c r="D398"/>
  <c r="D399"/>
  <c r="D400"/>
  <c r="D401"/>
  <c r="D402"/>
  <c r="D403"/>
  <c r="D404"/>
  <c r="B405"/>
  <c r="D405" s="1"/>
  <c r="C405"/>
  <c r="B406"/>
  <c r="C406"/>
  <c r="D406" s="1"/>
  <c r="B407"/>
  <c r="C407"/>
  <c r="D407"/>
  <c r="B408"/>
  <c r="C408"/>
  <c r="D408"/>
  <c r="B409"/>
  <c r="C409"/>
  <c r="D409" s="1"/>
  <c r="D410"/>
  <c r="D411"/>
  <c r="D412"/>
  <c r="D413"/>
  <c r="D414"/>
  <c r="B415"/>
  <c r="D415" s="1"/>
  <c r="C415"/>
  <c r="D416"/>
  <c r="D417"/>
  <c r="D418"/>
  <c r="D419"/>
  <c r="D420"/>
  <c r="D421"/>
  <c r="D422"/>
  <c r="B423"/>
  <c r="C423"/>
  <c r="D423"/>
  <c r="B424"/>
  <c r="C424"/>
  <c r="D424"/>
  <c r="B425"/>
  <c r="D425" s="1"/>
  <c r="C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B448"/>
  <c r="C448"/>
  <c r="D448"/>
  <c r="B449"/>
  <c r="D449" s="1"/>
  <c r="C449"/>
  <c r="B450"/>
  <c r="C450"/>
  <c r="D450" s="1"/>
  <c r="B451"/>
  <c r="C451"/>
  <c r="D451" s="1"/>
  <c r="B452"/>
  <c r="C452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B469"/>
  <c r="C469"/>
  <c r="D469"/>
  <c r="B470"/>
  <c r="D470" s="1"/>
  <c r="C470"/>
  <c r="B471"/>
  <c r="C471"/>
  <c r="D471" s="1"/>
  <c r="D472"/>
  <c r="B473"/>
  <c r="C473"/>
  <c r="D473" s="1"/>
  <c r="D474"/>
  <c r="D475"/>
  <c r="D476"/>
  <c r="D477"/>
  <c r="D478"/>
  <c r="D479"/>
  <c r="D480"/>
  <c r="D481"/>
  <c r="D482"/>
  <c r="D483"/>
  <c r="D484"/>
  <c r="D485"/>
  <c r="D486"/>
  <c r="B487"/>
  <c r="C487"/>
  <c r="D487" s="1"/>
  <c r="B488"/>
  <c r="C488"/>
  <c r="D488"/>
  <c r="B489"/>
  <c r="C489"/>
  <c r="D489"/>
  <c r="B490"/>
  <c r="C490"/>
  <c r="D490" s="1"/>
  <c r="B491"/>
  <c r="C491"/>
  <c r="D491" s="1"/>
  <c r="D492"/>
  <c r="D493"/>
  <c r="B494"/>
  <c r="D494" s="1"/>
  <c r="C494"/>
  <c r="D495"/>
  <c r="D496"/>
  <c r="B497"/>
  <c r="C497"/>
  <c r="D497"/>
  <c r="D498"/>
  <c r="D499"/>
  <c r="D500"/>
  <c r="D501"/>
  <c r="D502"/>
  <c r="D503"/>
  <c r="D504"/>
  <c r="B505"/>
  <c r="C505"/>
  <c r="D505" s="1"/>
  <c r="B506"/>
  <c r="C506"/>
  <c r="D506"/>
  <c r="B507"/>
  <c r="C507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B528"/>
  <c r="C528"/>
  <c r="D528" s="1"/>
  <c r="B529"/>
  <c r="C529"/>
  <c r="D529" s="1"/>
  <c r="B530"/>
  <c r="C530"/>
  <c r="D530"/>
  <c r="D531"/>
  <c r="D532"/>
  <c r="D533"/>
  <c r="D534"/>
  <c r="D535"/>
  <c r="D536"/>
  <c r="B537"/>
  <c r="C537"/>
  <c r="D537" s="1"/>
  <c r="D538"/>
  <c r="D539"/>
  <c r="D540"/>
  <c r="D541"/>
  <c r="D542"/>
  <c r="D543"/>
  <c r="B544"/>
  <c r="C544"/>
  <c r="B545"/>
  <c r="C545"/>
  <c r="D545" s="1"/>
  <c r="D546"/>
  <c r="B547"/>
  <c r="C547"/>
  <c r="D547" s="1"/>
  <c r="D548"/>
  <c r="D549"/>
  <c r="D550"/>
  <c r="D551"/>
  <c r="D552"/>
  <c r="D553"/>
  <c r="D554"/>
  <c r="D555"/>
  <c r="B556"/>
  <c r="C556"/>
  <c r="D556"/>
  <c r="D557"/>
  <c r="B558"/>
  <c r="C558"/>
  <c r="D558"/>
  <c r="B559"/>
  <c r="C559"/>
  <c r="D559"/>
  <c r="D560"/>
  <c r="D561"/>
  <c r="D562"/>
  <c r="D563"/>
  <c r="D564"/>
  <c r="D565"/>
  <c r="D566"/>
  <c r="D567"/>
  <c r="D568"/>
  <c r="D569"/>
  <c r="D570"/>
  <c r="D571"/>
  <c r="B572"/>
  <c r="D572" s="1"/>
  <c r="C572"/>
  <c r="B573"/>
  <c r="C573"/>
  <c r="D573" s="1"/>
  <c r="B574"/>
  <c r="C574"/>
  <c r="D574"/>
  <c r="B575"/>
  <c r="C575"/>
  <c r="D575" s="1"/>
  <c r="B576"/>
  <c r="C576"/>
  <c r="D577"/>
  <c r="D578"/>
  <c r="D579"/>
  <c r="D580"/>
  <c r="D581"/>
  <c r="D582"/>
  <c r="D583"/>
  <c r="D584"/>
  <c r="D585"/>
  <c r="D586"/>
  <c r="B587"/>
  <c r="C587"/>
  <c r="D587"/>
  <c r="B588"/>
  <c r="C588"/>
  <c r="D588" s="1"/>
  <c r="B589"/>
  <c r="C589"/>
  <c r="D589" s="1"/>
  <c r="B590"/>
  <c r="C590"/>
  <c r="D590"/>
  <c r="D591"/>
  <c r="D592"/>
  <c r="D593"/>
  <c r="D594"/>
  <c r="D595"/>
  <c r="D596"/>
  <c r="D597"/>
  <c r="D598"/>
  <c r="D599"/>
  <c r="D600"/>
  <c r="D601"/>
  <c r="D602"/>
  <c r="D603"/>
  <c r="D604"/>
  <c r="B605"/>
  <c r="C605"/>
  <c r="D605" s="1"/>
  <c r="B606"/>
  <c r="C606"/>
  <c r="D606"/>
  <c r="D607"/>
  <c r="D608"/>
  <c r="D609"/>
  <c r="D610"/>
  <c r="D611"/>
  <c r="D612"/>
  <c r="D613"/>
  <c r="D614"/>
  <c r="D615"/>
  <c r="D616"/>
  <c r="D617"/>
  <c r="D618"/>
  <c r="B619"/>
  <c r="C619"/>
  <c r="D619" s="1"/>
  <c r="B620"/>
  <c r="C620"/>
  <c r="D620" s="1"/>
  <c r="D621"/>
  <c r="B622"/>
  <c r="C622"/>
  <c r="D623"/>
  <c r="D624"/>
  <c r="D625"/>
  <c r="B626"/>
  <c r="C626"/>
  <c r="D626"/>
  <c r="D627"/>
  <c r="D628"/>
  <c r="D629"/>
  <c r="B630"/>
  <c r="C630"/>
  <c r="D630" s="1"/>
  <c r="D631"/>
  <c r="D632"/>
  <c r="D633"/>
  <c r="D634"/>
  <c r="D635"/>
  <c r="D636"/>
  <c r="D637"/>
  <c r="D638"/>
  <c r="D639"/>
  <c r="D640"/>
  <c r="B641"/>
  <c r="C641"/>
  <c r="D641"/>
  <c r="B642"/>
  <c r="C642"/>
  <c r="B643"/>
  <c r="C643"/>
  <c r="D643" s="1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B661"/>
  <c r="C661"/>
  <c r="D661" s="1"/>
  <c r="B662"/>
  <c r="C662"/>
  <c r="D662"/>
  <c r="B663"/>
  <c r="D663" s="1"/>
  <c r="C663"/>
  <c r="D664"/>
  <c r="D665"/>
  <c r="D666"/>
  <c r="D667"/>
  <c r="B668"/>
  <c r="C668"/>
  <c r="D669"/>
  <c r="B670"/>
  <c r="D670" s="1"/>
  <c r="D671"/>
  <c r="D672"/>
  <c r="D673"/>
  <c r="D674"/>
  <c r="D675"/>
  <c r="D676"/>
  <c r="D677"/>
  <c r="D678"/>
  <c r="D679"/>
  <c r="D680"/>
  <c r="D681"/>
  <c r="B682"/>
  <c r="C682"/>
  <c r="D682"/>
  <c r="B683"/>
  <c r="C683"/>
  <c r="D683" s="1"/>
  <c r="B684"/>
  <c r="C684"/>
  <c r="D684" s="1"/>
  <c r="B685"/>
  <c r="C685"/>
  <c r="D685"/>
  <c r="D686"/>
  <c r="B687"/>
  <c r="C687"/>
  <c r="D687"/>
  <c r="D688"/>
  <c r="D689"/>
  <c r="D690"/>
  <c r="B691"/>
  <c r="C691"/>
  <c r="D691" s="1"/>
  <c r="D692"/>
  <c r="D693"/>
  <c r="D694"/>
  <c r="D695"/>
  <c r="D696"/>
  <c r="D697"/>
  <c r="D698"/>
  <c r="D699"/>
  <c r="D700"/>
  <c r="D701"/>
  <c r="D702"/>
  <c r="D703"/>
  <c r="B704"/>
  <c r="C704"/>
  <c r="D704" s="1"/>
  <c r="B705"/>
  <c r="C705"/>
  <c r="D705"/>
  <c r="D706"/>
  <c r="D707"/>
  <c r="B708"/>
  <c r="C708"/>
  <c r="D708" s="1"/>
  <c r="B709"/>
  <c r="C709"/>
  <c r="D709"/>
  <c r="D710"/>
  <c r="D711"/>
  <c r="B712"/>
  <c r="C712"/>
  <c r="D712" s="1"/>
  <c r="B713"/>
  <c r="C713"/>
  <c r="D713"/>
  <c r="D714"/>
  <c r="D715"/>
  <c r="D716"/>
  <c r="D717"/>
  <c r="D718"/>
  <c r="D719"/>
  <c r="D720"/>
  <c r="D721"/>
  <c r="D722"/>
  <c r="D723"/>
  <c r="B724"/>
  <c r="C724"/>
  <c r="D724" s="1"/>
  <c r="B725"/>
  <c r="C725"/>
  <c r="D725"/>
  <c r="B726"/>
  <c r="C726"/>
  <c r="D726" s="1"/>
  <c r="D727"/>
  <c r="D728"/>
  <c r="D729"/>
  <c r="D730"/>
  <c r="D731"/>
  <c r="D732"/>
  <c r="D733"/>
  <c r="D734"/>
  <c r="D735"/>
  <c r="B736"/>
  <c r="C736"/>
  <c r="D736" s="1"/>
  <c r="B737"/>
  <c r="D737" s="1"/>
  <c r="C737"/>
  <c r="B738"/>
  <c r="C738"/>
  <c r="D738" s="1"/>
  <c r="B739"/>
  <c r="C739"/>
  <c r="D739"/>
  <c r="D740"/>
  <c r="D741"/>
  <c r="D742"/>
  <c r="D743"/>
  <c r="D744"/>
  <c r="D745"/>
  <c r="D746"/>
  <c r="B747"/>
  <c r="D747" s="1"/>
  <c r="C747"/>
  <c r="D748"/>
  <c r="D749"/>
  <c r="B750"/>
  <c r="C750"/>
  <c r="D750" s="1"/>
  <c r="B751"/>
  <c r="D751" s="1"/>
  <c r="C751"/>
  <c r="B752"/>
  <c r="C752"/>
  <c r="D752" s="1"/>
  <c r="B753"/>
  <c r="C753"/>
  <c r="D753"/>
  <c r="B754"/>
  <c r="C754"/>
  <c r="D754" s="1"/>
  <c r="B755"/>
  <c r="D755" s="1"/>
  <c r="C755"/>
  <c r="D756"/>
  <c r="D757"/>
  <c r="D758"/>
  <c r="B759"/>
  <c r="C759"/>
  <c r="D759"/>
  <c r="D760"/>
  <c r="D761"/>
  <c r="B762"/>
  <c r="C762"/>
  <c r="D762" s="1"/>
  <c r="D763"/>
  <c r="D764"/>
  <c r="D765"/>
  <c r="D766"/>
  <c r="D767"/>
  <c r="D768"/>
  <c r="D769"/>
  <c r="B770"/>
  <c r="C770"/>
  <c r="D770" s="1"/>
  <c r="B771"/>
  <c r="D771" s="1"/>
  <c r="C771"/>
  <c r="B772"/>
  <c r="C772"/>
  <c r="D772" s="1"/>
  <c r="B773"/>
  <c r="C773"/>
  <c r="D773"/>
  <c r="D774"/>
  <c r="D775"/>
  <c r="B776"/>
  <c r="C776"/>
  <c r="D776" s="1"/>
  <c r="D777"/>
  <c r="D778"/>
  <c r="D779"/>
  <c r="D780"/>
  <c r="D781"/>
  <c r="D782"/>
  <c r="D783"/>
  <c r="B784"/>
  <c r="C784"/>
  <c r="D784" s="1"/>
  <c r="B785"/>
  <c r="D785" s="1"/>
  <c r="C785"/>
  <c r="B786"/>
  <c r="C786"/>
  <c r="D786" s="1"/>
  <c r="D787"/>
  <c r="D788"/>
  <c r="D789"/>
  <c r="D790"/>
  <c r="D791"/>
  <c r="D792"/>
  <c r="D793"/>
  <c r="D794"/>
  <c r="D795"/>
  <c r="D796"/>
  <c r="D797"/>
  <c r="B798"/>
  <c r="C798"/>
  <c r="D798" s="1"/>
  <c r="B799"/>
  <c r="D799" s="1"/>
  <c r="C799"/>
  <c r="D800"/>
  <c r="D801"/>
  <c r="D802"/>
  <c r="D803"/>
  <c r="D804"/>
  <c r="D805"/>
  <c r="D806"/>
  <c r="D807"/>
  <c r="D808"/>
  <c r="D809"/>
  <c r="D810"/>
  <c r="D811"/>
  <c r="D812"/>
  <c r="B813"/>
  <c r="D813" s="1"/>
  <c r="C813"/>
  <c r="B814"/>
  <c r="C814"/>
  <c r="D814" s="1"/>
  <c r="B815"/>
  <c r="C815"/>
  <c r="D815"/>
  <c r="D816"/>
  <c r="D817"/>
  <c r="B818"/>
  <c r="C818"/>
  <c r="D818" s="1"/>
  <c r="B819"/>
  <c r="C819"/>
  <c r="D819"/>
  <c r="D820"/>
  <c r="D821"/>
  <c r="D822"/>
  <c r="D823"/>
  <c r="B824"/>
  <c r="C824"/>
  <c r="D824" s="1"/>
  <c r="D825"/>
  <c r="D826"/>
  <c r="D827"/>
  <c r="B828"/>
  <c r="C828"/>
  <c r="D828" s="1"/>
  <c r="B829"/>
  <c r="C829"/>
  <c r="D829"/>
  <c r="D830"/>
  <c r="D831"/>
  <c r="D832"/>
  <c r="B833"/>
  <c r="C833"/>
  <c r="D833" s="1"/>
  <c r="D834"/>
  <c r="D835"/>
  <c r="D836"/>
  <c r="D837"/>
  <c r="D838"/>
  <c r="D839"/>
  <c r="D840"/>
  <c r="D841"/>
  <c r="D842"/>
  <c r="B843"/>
  <c r="D843" s="1"/>
  <c r="C843"/>
  <c r="B844"/>
  <c r="C844"/>
  <c r="D844" s="1"/>
  <c r="D845"/>
  <c r="D846"/>
  <c r="B847"/>
  <c r="C847"/>
  <c r="D848"/>
  <c r="D849"/>
  <c r="D850"/>
  <c r="D851"/>
  <c r="D852"/>
  <c r="D853"/>
  <c r="D854"/>
  <c r="D855"/>
  <c r="D856"/>
  <c r="D857"/>
  <c r="D858"/>
  <c r="B859"/>
  <c r="C859"/>
  <c r="D859"/>
  <c r="B860"/>
  <c r="C860"/>
  <c r="D860" s="1"/>
  <c r="B861"/>
  <c r="C861"/>
  <c r="B862"/>
  <c r="C862"/>
  <c r="D862" s="1"/>
  <c r="B863"/>
  <c r="C863"/>
  <c r="D863"/>
  <c r="D864"/>
  <c r="D865"/>
  <c r="D866"/>
  <c r="D867"/>
  <c r="D868"/>
  <c r="D869"/>
  <c r="D870"/>
  <c r="B871"/>
  <c r="C871"/>
  <c r="B872"/>
  <c r="C872"/>
  <c r="D872" s="1"/>
  <c r="B873"/>
  <c r="C873"/>
  <c r="D873"/>
  <c r="D874"/>
  <c r="B875"/>
  <c r="C875"/>
  <c r="D875"/>
  <c r="D876"/>
  <c r="B877"/>
  <c r="C877"/>
  <c r="D877"/>
  <c r="D878"/>
  <c r="D879"/>
  <c r="D880"/>
  <c r="B881"/>
  <c r="D881" s="1"/>
  <c r="C881"/>
  <c r="B882"/>
  <c r="C882"/>
  <c r="D882" s="1"/>
  <c r="D883"/>
  <c r="B884"/>
  <c r="C884"/>
  <c r="D884" s="1"/>
  <c r="D885"/>
  <c r="B886"/>
  <c r="C886"/>
  <c r="D886" s="1"/>
  <c r="D887"/>
  <c r="D888"/>
  <c r="D889"/>
  <c r="D890"/>
  <c r="B891"/>
  <c r="C891"/>
  <c r="D891"/>
  <c r="D892"/>
  <c r="B893"/>
  <c r="C893"/>
  <c r="D893"/>
  <c r="D894"/>
  <c r="B895"/>
  <c r="C895"/>
  <c r="D895"/>
  <c r="D896"/>
  <c r="D897"/>
  <c r="D898"/>
  <c r="D899"/>
  <c r="D900"/>
  <c r="D901"/>
  <c r="D902"/>
  <c r="B903"/>
  <c r="D903" s="1"/>
  <c r="C903"/>
  <c r="D904"/>
  <c r="D905"/>
  <c r="D906"/>
  <c r="D907"/>
  <c r="D908"/>
  <c r="B909"/>
  <c r="D909" s="1"/>
  <c r="C909"/>
  <c r="B910"/>
  <c r="C910"/>
  <c r="D910" s="1"/>
  <c r="B911"/>
  <c r="C911"/>
  <c r="D911"/>
  <c r="D912"/>
  <c r="D913"/>
  <c r="D914"/>
  <c r="D915"/>
  <c r="D916"/>
  <c r="B917"/>
  <c r="C917"/>
  <c r="D917"/>
  <c r="D918"/>
  <c r="B919"/>
  <c r="C919"/>
  <c r="D919"/>
  <c r="B920"/>
  <c r="D920" s="1"/>
  <c r="C920"/>
  <c r="B921"/>
  <c r="C921"/>
  <c r="B922"/>
  <c r="C922"/>
  <c r="D922" s="1"/>
  <c r="D923"/>
  <c r="D924"/>
  <c r="D925"/>
  <c r="D926"/>
  <c r="D927"/>
  <c r="D928"/>
  <c r="D929"/>
  <c r="D930"/>
  <c r="D931"/>
  <c r="D932"/>
  <c r="D933"/>
  <c r="D934"/>
  <c r="B935"/>
  <c r="C935"/>
  <c r="D935"/>
  <c r="B936"/>
  <c r="C936"/>
  <c r="D936"/>
  <c r="D937"/>
  <c r="D938"/>
  <c r="D939"/>
  <c r="D940"/>
  <c r="B941"/>
  <c r="C941"/>
  <c r="D941" s="1"/>
  <c r="D942"/>
  <c r="D943"/>
  <c r="B944"/>
  <c r="C944"/>
  <c r="D944"/>
  <c r="D945"/>
  <c r="D946"/>
  <c r="D947"/>
  <c r="D948"/>
  <c r="D949"/>
  <c r="D950"/>
  <c r="D951"/>
  <c r="B952"/>
  <c r="C952"/>
  <c r="D952" s="1"/>
  <c r="B953"/>
  <c r="C953"/>
  <c r="D953"/>
  <c r="B954"/>
  <c r="C954"/>
  <c r="D954"/>
  <c r="B955"/>
  <c r="C955"/>
  <c r="D955" s="1"/>
  <c r="B956"/>
  <c r="C956"/>
  <c r="D956" s="1"/>
  <c r="D957"/>
  <c r="D958"/>
  <c r="D959"/>
  <c r="B960"/>
  <c r="C960"/>
  <c r="D960"/>
  <c r="D961"/>
  <c r="D962"/>
  <c r="D963"/>
  <c r="D964"/>
  <c r="D965"/>
  <c r="D966"/>
  <c r="D967"/>
  <c r="D968"/>
  <c r="D969"/>
  <c r="D970"/>
  <c r="B971"/>
  <c r="C971"/>
  <c r="D971"/>
  <c r="B972"/>
  <c r="C972"/>
  <c r="D972"/>
  <c r="B973"/>
  <c r="C973"/>
  <c r="B974"/>
  <c r="C974"/>
  <c r="D974" s="1"/>
  <c r="B975"/>
  <c r="C975"/>
  <c r="D975"/>
  <c r="D976"/>
  <c r="B977"/>
  <c r="C977"/>
  <c r="D977"/>
  <c r="C978"/>
  <c r="D978" s="1"/>
  <c r="D979"/>
  <c r="D980"/>
  <c r="D981"/>
  <c r="D982"/>
  <c r="D983"/>
  <c r="D984"/>
  <c r="B985"/>
  <c r="D985" s="1"/>
  <c r="C985"/>
  <c r="B986"/>
  <c r="C986"/>
  <c r="D986" s="1"/>
  <c r="B987"/>
  <c r="C987"/>
  <c r="D987" s="1"/>
  <c r="D988"/>
  <c r="B989"/>
  <c r="C989"/>
  <c r="D989" s="1"/>
  <c r="B990"/>
  <c r="D990"/>
  <c r="D991"/>
  <c r="D992"/>
  <c r="D993"/>
  <c r="D994"/>
  <c r="D995"/>
  <c r="D996"/>
  <c r="D997"/>
  <c r="B998"/>
  <c r="C998"/>
  <c r="D998" s="1"/>
  <c r="B999"/>
  <c r="C999"/>
  <c r="D999"/>
  <c r="D1000"/>
  <c r="D1001"/>
  <c r="B1002"/>
  <c r="C1002"/>
  <c r="D1002" s="1"/>
  <c r="C1003"/>
  <c r="D1003"/>
  <c r="D1004"/>
  <c r="D1005"/>
  <c r="D1006"/>
  <c r="D1007"/>
  <c r="D1008"/>
  <c r="D1009"/>
  <c r="D1010"/>
  <c r="D1011"/>
  <c r="D1012"/>
  <c r="D1013"/>
  <c r="B1014"/>
  <c r="C1014"/>
  <c r="D1014"/>
  <c r="B1015"/>
  <c r="D1015" s="1"/>
  <c r="C1015"/>
  <c r="B1016"/>
  <c r="C1016"/>
  <c r="D1016" s="1"/>
  <c r="B1017"/>
  <c r="C1017"/>
  <c r="D1017" s="1"/>
  <c r="B1018"/>
  <c r="C1018"/>
  <c r="D1018"/>
  <c r="D1019"/>
  <c r="D1020"/>
  <c r="D1021"/>
  <c r="D1022"/>
  <c r="D1023"/>
  <c r="D1024"/>
  <c r="D1025"/>
  <c r="D1026"/>
  <c r="D1027"/>
  <c r="B1028"/>
  <c r="C1028"/>
  <c r="D1028"/>
  <c r="B1029"/>
  <c r="D1029" s="1"/>
  <c r="C1029"/>
  <c r="B1030"/>
  <c r="C1030"/>
  <c r="B1031"/>
  <c r="C1031"/>
  <c r="D1031" s="1"/>
  <c r="D1032"/>
  <c r="B1033"/>
  <c r="C1033"/>
  <c r="D1033" s="1"/>
  <c r="D1034"/>
  <c r="D1035"/>
  <c r="D1036"/>
  <c r="B1037"/>
  <c r="D1037" s="1"/>
  <c r="C1037"/>
  <c r="B1038"/>
  <c r="C1038"/>
  <c r="D1039"/>
  <c r="D1040"/>
  <c r="D1041"/>
  <c r="B1042"/>
  <c r="C1042"/>
  <c r="D1042"/>
  <c r="D1043"/>
  <c r="D1044"/>
  <c r="D1045"/>
  <c r="D1046"/>
  <c r="B1047"/>
  <c r="D1047" s="1"/>
  <c r="C1047"/>
  <c r="B1048"/>
  <c r="C1048"/>
  <c r="D1049"/>
  <c r="B1050"/>
  <c r="C1050"/>
  <c r="D1050" s="1"/>
  <c r="D1051"/>
  <c r="D1052"/>
  <c r="D1053"/>
  <c r="D1054"/>
  <c r="D1055"/>
  <c r="D1056"/>
  <c r="D1057"/>
  <c r="D1058"/>
  <c r="D1059"/>
  <c r="D1060"/>
  <c r="D1061"/>
  <c r="D1062"/>
  <c r="D1063"/>
  <c r="D1064"/>
  <c r="B1065"/>
  <c r="D1065" s="1"/>
  <c r="C1065"/>
  <c r="B1066"/>
  <c r="C1066"/>
  <c r="D1066" s="1"/>
  <c r="D1067"/>
  <c r="B1068"/>
  <c r="C1068"/>
  <c r="D1069"/>
  <c r="D1070"/>
  <c r="D1071"/>
  <c r="B1072"/>
  <c r="C1072"/>
  <c r="D1072"/>
  <c r="D1073"/>
  <c r="D1074"/>
  <c r="D1075"/>
  <c r="D1076"/>
  <c r="B1077"/>
  <c r="D1077" s="1"/>
  <c r="C1077"/>
  <c r="B1078"/>
  <c r="C1078"/>
  <c r="D1078" s="1"/>
  <c r="B1079"/>
  <c r="C1079"/>
  <c r="D1079" s="1"/>
  <c r="D1080"/>
  <c r="D1081"/>
  <c r="B1082"/>
  <c r="C1082"/>
  <c r="B1083"/>
  <c r="C1083"/>
  <c r="D1083" s="1"/>
  <c r="D1084"/>
  <c r="D1085"/>
  <c r="D1086"/>
  <c r="B1087"/>
  <c r="D1087" s="1"/>
  <c r="C1087"/>
  <c r="B1088"/>
  <c r="C1088"/>
  <c r="D1088" s="1"/>
  <c r="B1089"/>
  <c r="C1089"/>
  <c r="D1089" s="1"/>
  <c r="D1090"/>
  <c r="D1091"/>
  <c r="B1092"/>
  <c r="C1092"/>
  <c r="D1092" s="1"/>
  <c r="B1093"/>
  <c r="C1093"/>
  <c r="D1093" s="1"/>
  <c r="D1094"/>
  <c r="D1095"/>
  <c r="D1096"/>
  <c r="D1097"/>
  <c r="D1098"/>
  <c r="D1099"/>
  <c r="D1100"/>
  <c r="B1101"/>
  <c r="D1101" s="1"/>
  <c r="C1101"/>
  <c r="B1102"/>
  <c r="C1102"/>
  <c r="D1103"/>
  <c r="B1104"/>
  <c r="C1104"/>
  <c r="D1104" s="1"/>
  <c r="D1105"/>
  <c r="D1106"/>
  <c r="B1107"/>
  <c r="D1107" s="1"/>
  <c r="C1107"/>
  <c r="B1108"/>
  <c r="C1108"/>
  <c r="D1108" s="1"/>
  <c r="D1109"/>
  <c r="D1110"/>
  <c r="D1111"/>
  <c r="D1112"/>
  <c r="B1113"/>
  <c r="C1113"/>
  <c r="D1113" s="1"/>
  <c r="B1114"/>
  <c r="C1114"/>
  <c r="D1114"/>
  <c r="B1115"/>
  <c r="D1115" s="1"/>
  <c r="C1115"/>
  <c r="B1116"/>
  <c r="C1116"/>
  <c r="B1117"/>
  <c r="C1117"/>
  <c r="D1117" s="1"/>
  <c r="B1118"/>
  <c r="C1118"/>
  <c r="D1118"/>
  <c r="D1119"/>
  <c r="D1120"/>
  <c r="D1121"/>
  <c r="D1122"/>
  <c r="D1123"/>
  <c r="D1124"/>
  <c r="D1125"/>
  <c r="D1126"/>
  <c r="D1127"/>
  <c r="B1128"/>
  <c r="C1128"/>
  <c r="D1128"/>
  <c r="B1129"/>
  <c r="D1129" s="1"/>
  <c r="C1129"/>
  <c r="B1130"/>
  <c r="C1130"/>
  <c r="D1130" s="1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B1148"/>
  <c r="C1148"/>
  <c r="B1149"/>
  <c r="C1149"/>
  <c r="D1149" s="1"/>
  <c r="B1150"/>
  <c r="C1150"/>
  <c r="D1150"/>
  <c r="B1151"/>
  <c r="D1151" s="1"/>
  <c r="C1151"/>
  <c r="B1152"/>
  <c r="C1152"/>
  <c r="D1152" s="1"/>
  <c r="D1153"/>
  <c r="D1154"/>
  <c r="D1155"/>
  <c r="D1156"/>
  <c r="D1157"/>
  <c r="D1158"/>
  <c r="D1159"/>
  <c r="D1160"/>
  <c r="D1161"/>
  <c r="D1162"/>
  <c r="D1163"/>
  <c r="B1164"/>
  <c r="C1164"/>
  <c r="D1164"/>
  <c r="B1165"/>
  <c r="D1165" s="1"/>
  <c r="C1165"/>
  <c r="B1166"/>
  <c r="C1166"/>
  <c r="D1166" s="1"/>
  <c r="B1167"/>
  <c r="C1167"/>
  <c r="D1167" s="1"/>
  <c r="D1168"/>
  <c r="D1169"/>
  <c r="B1170"/>
  <c r="C1170"/>
  <c r="D1170" s="1"/>
  <c r="D1171"/>
  <c r="C1172"/>
  <c r="D1172" s="1"/>
  <c r="D1173"/>
  <c r="B1174"/>
  <c r="C1174"/>
  <c r="D1174" s="1"/>
  <c r="D1175"/>
  <c r="D1176"/>
  <c r="D1177"/>
  <c r="D1178"/>
  <c r="D1179"/>
  <c r="D1180"/>
  <c r="B1181"/>
  <c r="C1181"/>
  <c r="D1181" s="1"/>
  <c r="B1182"/>
  <c r="C1182"/>
  <c r="D1182" s="1"/>
  <c r="D1183"/>
  <c r="D1184"/>
  <c r="D1185"/>
  <c r="D1186"/>
  <c r="D1187"/>
  <c r="D1188"/>
  <c r="D1189"/>
  <c r="D1190"/>
  <c r="D1191"/>
  <c r="D1192"/>
  <c r="D1193"/>
  <c r="D1194"/>
  <c r="D1195"/>
  <c r="D1196"/>
  <c r="B1197"/>
  <c r="C1197"/>
  <c r="D1197" s="1"/>
  <c r="B1198"/>
  <c r="C1198"/>
  <c r="D1198" s="1"/>
  <c r="B1199"/>
  <c r="C1199"/>
  <c r="D1199"/>
  <c r="B1200"/>
  <c r="D1200" s="1"/>
  <c r="C1200"/>
  <c r="D1201"/>
  <c r="D1202"/>
  <c r="B1203"/>
  <c r="C1203"/>
  <c r="D1203"/>
  <c r="D1204"/>
  <c r="D1205"/>
  <c r="B1206"/>
  <c r="C1206"/>
  <c r="D1206" s="1"/>
  <c r="B1207"/>
  <c r="C1207"/>
  <c r="D1207"/>
  <c r="B1208"/>
  <c r="D1208" s="1"/>
  <c r="C1208"/>
  <c r="B1209"/>
  <c r="C1209"/>
  <c r="B1210"/>
  <c r="C1210"/>
  <c r="D1210" s="1"/>
  <c r="D1211"/>
  <c r="D1212"/>
  <c r="D1213"/>
  <c r="D1214"/>
  <c r="D1215"/>
  <c r="D1216"/>
  <c r="B1217"/>
  <c r="C1217"/>
  <c r="B1218"/>
  <c r="C1218"/>
  <c r="D1218" s="1"/>
  <c r="B1219"/>
  <c r="C1219"/>
  <c r="D1219"/>
  <c r="B1220"/>
  <c r="D1220" s="1"/>
  <c r="C1220"/>
  <c r="B1221"/>
  <c r="C1221"/>
  <c r="D1221" s="1"/>
  <c r="D1222"/>
  <c r="B1223"/>
  <c r="C1223"/>
  <c r="D1224"/>
  <c r="D1225"/>
  <c r="D1226"/>
  <c r="D1227"/>
  <c r="D1228"/>
  <c r="D1229"/>
  <c r="B1230"/>
  <c r="D1230" s="1"/>
  <c r="C1230"/>
  <c r="D1231"/>
  <c r="D1232"/>
  <c r="B1233"/>
  <c r="C1233"/>
  <c r="D1233"/>
  <c r="D1234"/>
  <c r="D1235"/>
  <c r="D1236"/>
  <c r="B1237"/>
  <c r="C1237"/>
  <c r="D1238"/>
  <c r="D1239"/>
  <c r="D1240"/>
  <c r="D1241"/>
  <c r="D1242"/>
  <c r="D1243"/>
  <c r="D1244"/>
  <c r="D1245"/>
  <c r="D1246"/>
  <c r="D1247"/>
  <c r="D1248"/>
  <c r="B1249"/>
  <c r="C1249"/>
  <c r="D1249"/>
  <c r="B1250"/>
  <c r="D1250" s="1"/>
  <c r="C1250"/>
  <c r="D1251"/>
  <c r="D1252"/>
  <c r="D1253"/>
  <c r="D1254"/>
  <c r="D1255"/>
  <c r="D1256"/>
  <c r="D1257"/>
  <c r="D1258"/>
  <c r="D1259"/>
  <c r="D1260"/>
  <c r="B1261"/>
  <c r="C1261"/>
  <c r="D1261"/>
  <c r="B1262"/>
  <c r="D1262" s="1"/>
  <c r="C1262"/>
  <c r="B1263"/>
  <c r="C1263"/>
  <c r="D1263" s="1"/>
  <c r="B1264"/>
  <c r="C1264"/>
  <c r="D1264" s="1"/>
  <c r="B1265"/>
  <c r="C1265"/>
  <c r="D1265"/>
  <c r="D1266"/>
  <c r="D1267"/>
  <c r="D1268"/>
  <c r="D1269"/>
  <c r="D1270"/>
  <c r="D1271"/>
  <c r="D1272"/>
  <c r="D1273"/>
  <c r="D1274"/>
  <c r="B1275"/>
  <c r="C1275"/>
  <c r="D1275"/>
  <c r="B1276"/>
  <c r="D1276" s="1"/>
  <c r="C1276"/>
  <c r="B1277"/>
  <c r="C1277"/>
  <c r="D1278"/>
  <c r="D1279"/>
  <c r="D1280"/>
  <c r="D1281"/>
  <c r="D1282"/>
  <c r="D1283"/>
  <c r="D1284"/>
  <c r="D1285"/>
  <c r="D1286"/>
  <c r="D1287"/>
  <c r="D1288"/>
  <c r="D1289"/>
  <c r="D1290"/>
  <c r="B1291"/>
  <c r="C1291"/>
  <c r="D1291" s="1"/>
  <c r="B1292"/>
  <c r="C1292"/>
  <c r="D1292" s="1"/>
  <c r="B1293"/>
  <c r="C1293"/>
  <c r="D1293"/>
  <c r="B1294"/>
  <c r="D1294" s="1"/>
  <c r="C1294"/>
  <c r="D1295"/>
  <c r="D1296"/>
  <c r="D1297"/>
  <c r="D1298"/>
  <c r="D1299"/>
  <c r="D1300"/>
  <c r="D1301"/>
  <c r="D1302"/>
  <c r="D1303"/>
  <c r="D1304"/>
  <c r="D1305"/>
  <c r="B1306"/>
  <c r="C1306"/>
  <c r="D1306" s="1"/>
  <c r="B1307"/>
  <c r="C1307"/>
  <c r="D1307"/>
  <c r="D1308"/>
  <c r="C1309"/>
  <c r="D1309"/>
  <c r="D1310"/>
  <c r="D1311"/>
  <c r="D1312"/>
  <c r="D1313"/>
  <c r="D1314"/>
  <c r="D1315"/>
  <c r="D1316"/>
  <c r="B1317"/>
  <c r="C1317"/>
  <c r="D1317" s="1"/>
  <c r="B1318"/>
  <c r="C1318"/>
  <c r="D1318"/>
  <c r="B1319"/>
  <c r="D1319" s="1"/>
  <c r="C1319"/>
  <c r="B1320"/>
  <c r="C1320"/>
  <c r="D1320" s="1"/>
  <c r="D1321"/>
  <c r="B1322"/>
  <c r="D1322" s="1"/>
  <c r="B1323"/>
  <c r="C1323"/>
  <c r="D1323"/>
  <c r="D1324"/>
  <c r="B1325"/>
  <c r="C1325"/>
  <c r="D1325"/>
  <c r="D1326"/>
  <c r="D1327"/>
  <c r="D1328"/>
  <c r="D1329"/>
  <c r="D1330"/>
  <c r="D1331"/>
  <c r="D1332"/>
  <c r="D1333"/>
  <c r="D1334"/>
  <c r="B1335"/>
  <c r="C1335"/>
  <c r="D1335"/>
  <c r="B1336"/>
  <c r="D1336" s="1"/>
  <c r="C1336"/>
  <c r="D1337"/>
  <c r="D1338"/>
  <c r="D1339"/>
  <c r="D1340"/>
  <c r="D1341"/>
  <c r="D1342"/>
  <c r="D1343"/>
  <c r="D1344"/>
  <c r="D1345"/>
  <c r="D1346"/>
  <c r="D1347"/>
  <c r="D1348"/>
  <c r="D1349"/>
  <c r="D1350"/>
  <c r="B1351"/>
  <c r="C1351"/>
  <c r="D1351"/>
  <c r="B1352"/>
  <c r="D1352" s="1"/>
  <c r="C1352"/>
  <c r="D1353"/>
  <c r="D1354"/>
  <c r="D1355"/>
  <c r="D1356"/>
  <c r="D1357"/>
  <c r="D1358"/>
  <c r="D1359"/>
  <c r="D1360"/>
  <c r="D1361"/>
  <c r="D1362"/>
  <c r="D1363"/>
  <c r="B1364"/>
  <c r="C1364"/>
  <c r="D1364"/>
  <c r="B1365"/>
  <c r="C1365"/>
  <c r="D1365"/>
  <c r="B1366"/>
  <c r="D1366" s="1"/>
  <c r="C1366"/>
  <c r="B1367"/>
  <c r="C1367"/>
  <c r="D1367" s="1"/>
  <c r="D1368"/>
  <c r="D1369"/>
  <c r="D1370"/>
  <c r="D1371"/>
  <c r="D1372"/>
  <c r="D1373"/>
  <c r="D1374"/>
  <c r="D1375"/>
  <c r="B1376"/>
  <c r="C1376"/>
  <c r="D1376" s="1"/>
  <c r="B1377"/>
  <c r="C1377"/>
  <c r="D1377"/>
  <c r="B1378"/>
  <c r="D1378" s="1"/>
  <c r="C1378"/>
  <c r="B1379"/>
  <c r="C1379"/>
  <c r="D1379" s="1"/>
  <c r="D1380"/>
  <c r="B1381"/>
  <c r="C1381"/>
  <c r="B1382"/>
  <c r="C1382"/>
  <c r="D1382"/>
  <c r="B1383"/>
  <c r="C1383"/>
  <c r="D1383"/>
  <c r="D1384"/>
  <c r="B1385"/>
  <c r="C1385"/>
  <c r="D1385" s="1"/>
  <c r="B1386"/>
  <c r="D1386" s="1"/>
  <c r="C1386"/>
  <c r="B1387"/>
  <c r="C1387"/>
  <c r="D1387" s="1"/>
  <c r="B1388"/>
  <c r="D1388"/>
  <c r="D1389"/>
  <c r="D1390"/>
  <c r="D1391"/>
  <c r="D1392"/>
  <c r="D1393"/>
  <c r="B1394"/>
  <c r="C1394"/>
  <c r="D1394" s="1"/>
  <c r="B1395"/>
  <c r="D1395" s="1"/>
  <c r="C1395"/>
  <c r="D1396"/>
  <c r="D1397"/>
  <c r="B1398"/>
  <c r="C1398"/>
  <c r="D1398" s="1"/>
  <c r="D1399"/>
  <c r="D1400"/>
  <c r="D1401"/>
  <c r="D1402"/>
  <c r="D1403"/>
  <c r="D1404"/>
  <c r="B1405"/>
  <c r="C1405"/>
  <c r="D1405" s="1"/>
  <c r="B1406"/>
  <c r="C1406"/>
  <c r="D1406" s="1"/>
  <c r="B1407"/>
  <c r="D1407" s="1"/>
  <c r="C1407"/>
  <c r="B1408"/>
  <c r="C1408"/>
  <c r="D1408" s="1"/>
  <c r="B1409"/>
  <c r="C1409"/>
  <c r="D1409"/>
  <c r="D1410"/>
  <c r="D1411"/>
  <c r="B1412"/>
  <c r="C1412"/>
  <c r="D1412" s="1"/>
  <c r="D1413"/>
  <c r="B1414"/>
  <c r="C1414"/>
  <c r="D1414" s="1"/>
  <c r="D1415"/>
  <c r="D1416"/>
  <c r="D1417"/>
  <c r="D1418"/>
  <c r="D1419"/>
  <c r="D1420"/>
  <c r="D1421"/>
  <c r="D1422"/>
  <c r="D1423"/>
  <c r="B1424"/>
  <c r="C1424"/>
  <c r="B1425"/>
  <c r="C1425"/>
  <c r="D1425" s="1"/>
  <c r="B1426"/>
  <c r="C1426"/>
  <c r="D1426" s="1"/>
  <c r="B1427"/>
  <c r="D1427" s="1"/>
  <c r="C1427"/>
  <c r="D1428"/>
  <c r="D1429"/>
  <c r="D1430"/>
  <c r="D1431"/>
  <c r="B1432"/>
  <c r="C1432"/>
  <c r="D1432" s="1"/>
  <c r="D1433"/>
  <c r="D1434"/>
  <c r="B1435"/>
  <c r="C1435"/>
  <c r="D1435"/>
  <c r="D1436"/>
  <c r="B1437"/>
  <c r="D1437" s="1"/>
  <c r="C1437"/>
  <c r="B1438"/>
  <c r="C1438"/>
  <c r="B1439"/>
  <c r="C1439"/>
  <c r="D1439" s="1"/>
  <c r="B1440"/>
  <c r="C1440"/>
  <c r="D1440" s="1"/>
  <c r="D1441"/>
  <c r="D1442"/>
  <c r="D1443"/>
  <c r="D1444"/>
  <c r="B1445"/>
  <c r="D1445" s="1"/>
  <c r="C1445"/>
  <c r="D1446"/>
  <c r="D1447"/>
  <c r="D1448"/>
  <c r="B1449"/>
  <c r="C1449"/>
  <c r="D1449"/>
  <c r="D1450"/>
  <c r="B1451"/>
  <c r="C1451"/>
  <c r="D1451" s="1"/>
  <c r="B1452"/>
  <c r="C1452"/>
  <c r="D1452" s="1"/>
  <c r="B1453"/>
  <c r="D1453" s="1"/>
  <c r="C1453"/>
  <c r="D1454"/>
  <c r="D1455"/>
  <c r="B1456"/>
  <c r="C1456"/>
  <c r="D1456" s="1"/>
  <c r="B1457"/>
  <c r="D1457" s="1"/>
  <c r="C1457"/>
  <c r="D1458"/>
  <c r="D1459"/>
  <c r="D1460"/>
  <c r="D1461"/>
  <c r="D1462"/>
  <c r="B1463"/>
  <c r="C1463"/>
  <c r="D1463"/>
  <c r="D1464"/>
  <c r="B1465"/>
  <c r="D1465" s="1"/>
  <c r="C1465"/>
  <c r="B1466"/>
  <c r="C1466"/>
  <c r="D1466" s="1"/>
  <c r="B1467"/>
  <c r="C1467"/>
  <c r="D1467"/>
  <c r="B1468"/>
  <c r="C1468"/>
  <c r="D1468"/>
  <c r="B1469"/>
  <c r="C1469"/>
  <c r="D1469"/>
  <c r="D1470"/>
  <c r="B1471"/>
  <c r="D1471" s="1"/>
  <c r="C1471"/>
  <c r="D1472"/>
  <c r="D1473"/>
  <c r="D1474"/>
  <c r="B1475"/>
  <c r="C1475"/>
  <c r="D1475"/>
  <c r="D1476"/>
  <c r="D1477"/>
  <c r="D1478"/>
  <c r="D1479"/>
  <c r="B1480"/>
  <c r="C1480"/>
  <c r="D1480"/>
  <c r="B1481"/>
  <c r="C1481"/>
  <c r="D1481"/>
  <c r="B1482"/>
  <c r="C1482"/>
  <c r="D1482" s="1"/>
  <c r="B1483"/>
  <c r="C1483"/>
  <c r="D1483"/>
  <c r="B1484"/>
  <c r="C1484"/>
  <c r="D1484"/>
  <c r="B1485"/>
  <c r="C1485"/>
  <c r="D1485"/>
  <c r="B1486"/>
  <c r="C1486"/>
  <c r="D1486" s="1"/>
  <c r="D1487"/>
  <c r="D1488"/>
  <c r="D1489"/>
  <c r="D1490"/>
  <c r="D1491"/>
  <c r="D1492"/>
  <c r="D1493"/>
  <c r="D1494"/>
  <c r="D1495"/>
  <c r="B1496"/>
  <c r="C1496"/>
  <c r="D1496" s="1"/>
  <c r="B1497"/>
  <c r="C1497"/>
  <c r="D1497"/>
  <c r="B1498"/>
  <c r="C1498"/>
  <c r="D1498"/>
  <c r="B1499"/>
  <c r="C1499"/>
  <c r="D1499"/>
  <c r="B1500"/>
  <c r="C1500"/>
  <c r="D1500" s="1"/>
  <c r="B1501"/>
  <c r="D1501" s="1"/>
  <c r="C1501"/>
  <c r="D1502"/>
  <c r="D1503"/>
  <c r="D1504"/>
  <c r="D1505"/>
  <c r="D1506"/>
  <c r="D1507"/>
  <c r="D1508"/>
  <c r="D1509"/>
  <c r="D1510"/>
  <c r="B1511"/>
  <c r="C1511"/>
  <c r="D1511"/>
  <c r="B1512"/>
  <c r="C1512"/>
  <c r="D1512"/>
  <c r="B1513"/>
  <c r="C1513"/>
  <c r="D1513"/>
  <c r="B1514"/>
  <c r="D1514"/>
  <c r="B1515"/>
  <c r="C1515"/>
  <c r="D1515"/>
  <c r="B1516"/>
  <c r="C1516"/>
  <c r="D1516"/>
  <c r="D1517"/>
  <c r="D1518"/>
  <c r="D1519"/>
  <c r="D1520"/>
  <c r="D1521"/>
  <c r="D1522"/>
  <c r="D1523"/>
  <c r="B1524"/>
  <c r="C1524"/>
  <c r="D1524" s="1"/>
  <c r="B1525"/>
  <c r="C1525"/>
  <c r="D1525" s="1"/>
  <c r="B1526"/>
  <c r="D1526" s="1"/>
  <c r="C1526"/>
  <c r="D1527"/>
  <c r="B1528"/>
  <c r="C1528"/>
  <c r="D1528"/>
  <c r="D1529"/>
  <c r="B1530"/>
  <c r="D1530" s="1"/>
  <c r="C1530"/>
  <c r="B1531"/>
  <c r="C1531"/>
  <c r="D1531" s="1"/>
  <c r="B1532"/>
  <c r="C1532"/>
  <c r="D1532"/>
  <c r="B1533"/>
  <c r="C1533"/>
  <c r="D1533"/>
  <c r="B1534"/>
  <c r="C1534"/>
  <c r="D1534"/>
  <c r="D1535"/>
  <c r="D1536"/>
  <c r="B1537"/>
  <c r="C1537"/>
  <c r="D1537"/>
  <c r="D1538"/>
  <c r="D1539"/>
  <c r="D1540"/>
  <c r="D1541"/>
  <c r="D1542"/>
  <c r="B1543"/>
  <c r="C1543"/>
  <c r="D1543"/>
  <c r="B1544"/>
  <c r="D1544" s="1"/>
  <c r="C1544"/>
  <c r="B1545"/>
  <c r="C1545"/>
  <c r="D1546"/>
  <c r="D1547"/>
  <c r="D1548"/>
  <c r="D1549"/>
  <c r="D1550"/>
  <c r="D1551"/>
  <c r="B1552"/>
  <c r="C1552"/>
  <c r="D1552"/>
  <c r="B1553"/>
  <c r="C1553"/>
  <c r="D1553"/>
  <c r="D1554"/>
  <c r="D1555"/>
  <c r="D1556"/>
  <c r="D1557"/>
  <c r="D1558"/>
  <c r="D1559"/>
  <c r="B1560"/>
  <c r="C1560"/>
  <c r="D1560"/>
  <c r="B1561"/>
  <c r="C1561"/>
  <c r="D1561"/>
  <c r="B1562"/>
  <c r="D1562" s="1"/>
  <c r="C1562"/>
  <c r="B1563"/>
  <c r="C1563"/>
  <c r="D1563" s="1"/>
  <c r="D1564"/>
  <c r="D1565"/>
  <c r="D1566"/>
  <c r="B1567"/>
  <c r="C1567"/>
  <c r="D1567"/>
  <c r="D1568"/>
  <c r="D1569"/>
  <c r="D1570"/>
  <c r="D1571"/>
  <c r="D1572"/>
  <c r="D1573"/>
  <c r="D1574"/>
  <c r="B1575"/>
  <c r="C1575"/>
  <c r="D1575" s="1"/>
  <c r="B1576"/>
  <c r="C1576"/>
  <c r="D1576"/>
  <c r="B1577"/>
  <c r="C1577"/>
  <c r="D1577"/>
  <c r="B1578"/>
  <c r="D1578" s="1"/>
  <c r="C1578"/>
  <c r="D1579"/>
  <c r="D1580"/>
  <c r="D1581"/>
  <c r="B1582"/>
  <c r="C1582"/>
  <c r="D1582"/>
  <c r="D1583"/>
  <c r="B1584"/>
  <c r="C1584"/>
  <c r="D1584"/>
  <c r="B1585"/>
  <c r="C1585"/>
  <c r="D1585"/>
  <c r="B1586"/>
  <c r="D1586" s="1"/>
  <c r="C1586"/>
  <c r="B1587"/>
  <c r="C1587"/>
  <c r="D1587" s="1"/>
  <c r="B1588"/>
  <c r="C1588"/>
  <c r="D1588"/>
  <c r="B1589"/>
  <c r="C1589"/>
  <c r="D1589"/>
  <c r="B1590"/>
  <c r="D1590" s="1"/>
  <c r="C1590"/>
  <c r="D1591"/>
  <c r="D1592"/>
  <c r="D1593"/>
  <c r="D1594"/>
  <c r="D1595"/>
  <c r="D1596"/>
  <c r="D1597"/>
  <c r="D1598"/>
  <c r="D1599"/>
  <c r="D1600"/>
  <c r="B1601"/>
  <c r="C1601"/>
  <c r="D1601"/>
  <c r="B1602"/>
  <c r="D1602" s="1"/>
  <c r="C1602"/>
  <c r="B1603"/>
  <c r="C1603"/>
  <c r="D1603" s="1"/>
  <c r="B1604"/>
  <c r="C1604"/>
  <c r="D1604"/>
  <c r="D1605"/>
  <c r="D1606"/>
  <c r="D1607"/>
  <c r="D1608"/>
  <c r="D1609"/>
  <c r="D1610"/>
  <c r="D1611"/>
  <c r="D1612"/>
  <c r="D1613"/>
  <c r="B1614"/>
  <c r="C1614"/>
  <c r="D1614"/>
  <c r="B1615"/>
  <c r="C1615"/>
  <c r="D1615" s="1"/>
  <c r="B1616"/>
  <c r="D1616" s="1"/>
  <c r="C1616"/>
  <c r="B1617"/>
  <c r="C1617"/>
  <c r="D1617" s="1"/>
  <c r="B1618"/>
  <c r="C1618"/>
  <c r="D1618"/>
  <c r="D1619"/>
  <c r="D1620"/>
  <c r="D1621"/>
  <c r="D1622"/>
  <c r="D1623"/>
  <c r="D1624"/>
  <c r="D1625"/>
  <c r="B1626"/>
  <c r="D1626" s="1"/>
  <c r="C1626"/>
  <c r="B1627"/>
  <c r="C1627"/>
  <c r="D1627" s="1"/>
  <c r="B1628"/>
  <c r="C1628"/>
  <c r="D1628"/>
  <c r="B1629"/>
  <c r="C1629"/>
  <c r="D1629" s="1"/>
  <c r="D1630"/>
  <c r="D1631"/>
  <c r="D1632"/>
  <c r="D1633"/>
  <c r="D1634"/>
  <c r="D1635"/>
  <c r="D1636"/>
  <c r="D1637"/>
  <c r="B1638"/>
  <c r="D1638" s="1"/>
  <c r="C1638"/>
  <c r="B1639"/>
  <c r="C1639"/>
  <c r="D1639" s="1"/>
  <c r="B1640"/>
  <c r="C1640"/>
  <c r="D1640"/>
  <c r="B1641"/>
  <c r="C1641"/>
  <c r="D1641" s="1"/>
  <c r="B1642"/>
  <c r="D1642" s="1"/>
  <c r="C1642"/>
  <c r="B1643"/>
  <c r="C1643"/>
  <c r="D1643" s="1"/>
  <c r="B1644"/>
  <c r="C1644"/>
  <c r="D1644"/>
  <c r="D1645"/>
  <c r="B1646"/>
  <c r="C1646"/>
  <c r="D1646"/>
  <c r="D1647"/>
  <c r="D1648"/>
  <c r="B1649"/>
  <c r="C1649"/>
  <c r="D1649" s="1"/>
  <c r="D1650"/>
  <c r="D1651"/>
  <c r="D1652"/>
  <c r="D1653"/>
  <c r="D1654"/>
  <c r="D1655"/>
  <c r="D1656"/>
  <c r="B1657"/>
  <c r="C1657"/>
  <c r="D1657" s="1"/>
  <c r="B1658"/>
  <c r="D1658" s="1"/>
  <c r="C1658"/>
  <c r="B1659"/>
  <c r="C1659"/>
  <c r="D1659" s="1"/>
  <c r="B1660"/>
  <c r="C1660"/>
  <c r="D1660"/>
  <c r="D1661"/>
  <c r="D1662"/>
  <c r="D1663"/>
  <c r="D1664"/>
  <c r="D1665"/>
  <c r="D1666"/>
  <c r="B1667"/>
  <c r="C1667"/>
  <c r="D1667" s="1"/>
  <c r="B1668"/>
  <c r="C1668"/>
  <c r="D1668"/>
  <c r="B1669"/>
  <c r="C1669"/>
  <c r="D1669" s="1"/>
  <c r="B1670"/>
  <c r="D1670" s="1"/>
  <c r="C1670"/>
  <c r="B1671"/>
  <c r="C1671"/>
  <c r="D1671" s="1"/>
  <c r="B1672"/>
  <c r="C1672"/>
  <c r="D1672"/>
  <c r="B1673"/>
  <c r="C1673"/>
  <c r="D1673" s="1"/>
  <c r="D1674"/>
  <c r="D1675"/>
  <c r="D1676"/>
  <c r="D1677"/>
  <c r="D1678"/>
  <c r="D1679"/>
  <c r="D1680"/>
  <c r="B1681"/>
  <c r="C1681"/>
  <c r="D1681" s="1"/>
  <c r="B1682"/>
  <c r="C1682"/>
  <c r="D1682"/>
  <c r="D1683"/>
  <c r="D1684"/>
  <c r="D1685"/>
  <c r="B1686"/>
  <c r="D1686" s="1"/>
  <c r="C1686"/>
  <c r="D1687"/>
  <c r="D1688"/>
  <c r="D1689"/>
  <c r="B1690"/>
  <c r="C1690"/>
  <c r="D1690"/>
  <c r="B1691"/>
  <c r="C1691"/>
  <c r="D1691" s="1"/>
  <c r="D1692"/>
  <c r="D1693"/>
  <c r="B1694"/>
  <c r="C1694"/>
  <c r="D1694"/>
  <c r="B1695"/>
  <c r="C1695"/>
  <c r="D1695" s="1"/>
  <c r="B1696"/>
  <c r="D1696" s="1"/>
  <c r="C1696"/>
  <c r="B1697"/>
  <c r="C1697"/>
  <c r="D1697" s="1"/>
  <c r="D1698"/>
  <c r="D1699"/>
  <c r="D1700"/>
  <c r="D1701"/>
  <c r="D1702"/>
  <c r="D1703"/>
  <c r="D1704"/>
  <c r="D1705"/>
  <c r="D1706"/>
  <c r="D1707"/>
  <c r="B1708"/>
  <c r="D1708" s="1"/>
  <c r="C1708"/>
  <c r="B1709"/>
  <c r="C1709"/>
  <c r="D1709" s="1"/>
  <c r="B1710"/>
  <c r="C1710"/>
  <c r="D1710"/>
  <c r="C1711"/>
  <c r="D1711"/>
  <c r="B1712"/>
  <c r="C1712"/>
  <c r="D1712" s="1"/>
  <c r="B1713"/>
  <c r="C1713"/>
  <c r="D1713"/>
  <c r="B1714"/>
  <c r="C1714"/>
  <c r="D1714" s="1"/>
  <c r="D1715"/>
  <c r="D1716"/>
  <c r="D1717"/>
  <c r="D1718"/>
  <c r="D1719"/>
  <c r="D1720"/>
  <c r="B1721"/>
  <c r="C1721"/>
  <c r="D1721"/>
  <c r="B1722"/>
  <c r="C1722"/>
  <c r="D1722" s="1"/>
  <c r="B1723"/>
  <c r="D1723" s="1"/>
  <c r="C1723"/>
  <c r="B1724"/>
  <c r="C1724"/>
  <c r="D1724" s="1"/>
  <c r="B1725"/>
  <c r="C1725"/>
  <c r="D1725"/>
  <c r="D1726"/>
  <c r="D1727"/>
  <c r="D1728"/>
  <c r="D1729"/>
  <c r="D1730"/>
  <c r="D1731"/>
  <c r="B1732"/>
  <c r="C1732"/>
  <c r="D1732" s="1"/>
  <c r="B1733"/>
  <c r="C1733"/>
  <c r="D1733"/>
  <c r="B1734"/>
  <c r="C1734"/>
  <c r="D1734" s="1"/>
  <c r="B1735"/>
  <c r="D1735" s="1"/>
  <c r="C1735"/>
  <c r="B1736"/>
  <c r="C1736"/>
  <c r="D1736" s="1"/>
  <c r="B1737"/>
  <c r="C1737"/>
  <c r="D1737"/>
  <c r="D1738"/>
  <c r="D1739"/>
  <c r="D1740"/>
  <c r="B1741"/>
  <c r="D1741" s="1"/>
  <c r="C1741"/>
  <c r="D1742"/>
  <c r="D1743"/>
  <c r="D1744"/>
  <c r="D1745"/>
  <c r="D1746"/>
  <c r="D1747"/>
  <c r="D1748"/>
  <c r="D1749"/>
  <c r="B1750"/>
  <c r="C1750"/>
  <c r="D1750" s="1"/>
  <c r="B1751"/>
  <c r="C1751"/>
  <c r="D1751"/>
  <c r="B1752"/>
  <c r="C1752"/>
  <c r="D1752" s="1"/>
  <c r="D1753"/>
  <c r="B1754"/>
  <c r="C1754"/>
  <c r="D1754" s="1"/>
  <c r="B1755"/>
  <c r="D1755" s="1"/>
  <c r="C1755"/>
  <c r="D1756"/>
  <c r="D1757"/>
  <c r="D1758"/>
  <c r="B1759"/>
  <c r="C1759"/>
  <c r="D1759"/>
  <c r="B1760"/>
  <c r="C1760"/>
  <c r="D1760" s="1"/>
  <c r="B1761"/>
  <c r="D1761" s="1"/>
  <c r="C1761"/>
  <c r="B1762"/>
  <c r="C1762"/>
  <c r="D1762" s="1"/>
  <c r="B1763"/>
  <c r="C1763"/>
  <c r="D1763"/>
  <c r="B1764"/>
  <c r="C1764"/>
  <c r="D1764" s="1"/>
  <c r="B1765"/>
  <c r="D1765" s="1"/>
  <c r="C1765"/>
  <c r="B1766"/>
  <c r="C1766"/>
  <c r="D1766" s="1"/>
  <c r="B1767"/>
  <c r="C1767"/>
  <c r="D1767"/>
  <c r="B1768"/>
  <c r="C1768"/>
  <c r="D1768" s="1"/>
  <c r="B1769"/>
  <c r="D1769" s="1"/>
  <c r="C1769"/>
  <c r="B1770"/>
  <c r="C1770"/>
  <c r="D1770" s="1"/>
  <c r="B1771"/>
  <c r="C1771"/>
  <c r="D1771"/>
  <c r="B1772"/>
  <c r="C1772"/>
  <c r="D1772" s="1"/>
  <c r="B1773"/>
  <c r="D1773" s="1"/>
  <c r="C1773"/>
  <c r="B1774"/>
  <c r="C1774"/>
  <c r="D1774" s="1"/>
  <c r="B1775"/>
  <c r="C1775"/>
  <c r="D1775"/>
  <c r="B1776"/>
  <c r="C1776"/>
  <c r="D1776" s="1"/>
  <c r="B1777"/>
  <c r="D1777" s="1"/>
  <c r="C1777"/>
  <c r="B1778"/>
  <c r="C1778"/>
  <c r="D1778" s="1"/>
  <c r="B1779"/>
  <c r="C1779"/>
  <c r="D1779"/>
  <c r="B1780"/>
  <c r="C1780"/>
  <c r="D1780" s="1"/>
  <c r="B1781"/>
  <c r="D1781" s="1"/>
  <c r="C1781"/>
  <c r="B1782"/>
  <c r="C1782"/>
  <c r="D1782" s="1"/>
  <c r="B1783"/>
  <c r="C1783"/>
  <c r="D1783"/>
  <c r="B1784"/>
  <c r="C1784"/>
  <c r="D1784" s="1"/>
  <c r="B1785"/>
  <c r="D1785" s="1"/>
  <c r="C1785"/>
  <c r="B1786"/>
  <c r="C1786"/>
  <c r="D1786" s="1"/>
  <c r="B1787"/>
  <c r="C1787"/>
  <c r="D1787"/>
  <c r="B1788"/>
  <c r="C1788"/>
  <c r="D1788" s="1"/>
  <c r="B1789"/>
  <c r="D1789" s="1"/>
  <c r="C1789"/>
  <c r="B1790"/>
  <c r="C1790"/>
  <c r="D1790" s="1"/>
  <c r="B1791"/>
  <c r="C1791"/>
  <c r="D1791"/>
  <c r="B1792"/>
  <c r="C1792"/>
  <c r="D1792" s="1"/>
  <c r="B1793"/>
  <c r="D1793" s="1"/>
  <c r="C1793"/>
  <c r="B1794"/>
  <c r="C1794"/>
  <c r="D1794" s="1"/>
  <c r="B1795"/>
  <c r="C1795"/>
  <c r="D1795"/>
  <c r="B1796"/>
  <c r="C1796"/>
  <c r="D1796" s="1"/>
  <c r="B1797"/>
  <c r="D1797" s="1"/>
  <c r="C1797"/>
  <c r="B1798"/>
  <c r="C1798"/>
  <c r="D1798" s="1"/>
  <c r="B1799"/>
  <c r="C1799"/>
  <c r="D1799"/>
  <c r="B1800"/>
  <c r="C1800"/>
  <c r="D1800" s="1"/>
  <c r="B1801"/>
  <c r="D1801" s="1"/>
  <c r="C1801"/>
  <c r="B1802"/>
  <c r="C1802"/>
  <c r="D1802" s="1"/>
  <c r="B1803"/>
  <c r="C1803"/>
  <c r="D1803"/>
  <c r="B1804"/>
  <c r="C1804"/>
  <c r="D1804" s="1"/>
  <c r="B1805"/>
  <c r="D1805" s="1"/>
  <c r="C1805"/>
  <c r="B1806"/>
  <c r="C1806"/>
  <c r="D1806" s="1"/>
  <c r="B1807"/>
  <c r="C1807"/>
  <c r="D1807"/>
  <c r="B1808"/>
  <c r="C1808"/>
  <c r="D1808" s="1"/>
  <c r="B1809"/>
  <c r="D1809" s="1"/>
  <c r="C1809"/>
  <c r="B1810"/>
  <c r="C1810"/>
  <c r="D1810" s="1"/>
  <c r="B1811"/>
  <c r="C1811"/>
  <c r="D1811"/>
  <c r="B1812"/>
  <c r="C1812"/>
  <c r="D1812" s="1"/>
  <c r="B1813"/>
  <c r="D1813" s="1"/>
  <c r="C1813"/>
  <c r="B1814"/>
  <c r="C1814"/>
  <c r="D1814" s="1"/>
  <c r="B1815"/>
  <c r="C1815"/>
  <c r="D1815"/>
  <c r="B1816"/>
  <c r="C1816"/>
  <c r="D1816" s="1"/>
  <c r="B1817"/>
  <c r="D1817" s="1"/>
  <c r="C1817"/>
  <c r="B1818"/>
  <c r="C1818"/>
  <c r="D1818" s="1"/>
  <c r="B1819"/>
  <c r="C1819"/>
  <c r="D1819"/>
  <c r="B1820"/>
  <c r="C1820"/>
  <c r="D1820" s="1"/>
  <c r="B1821"/>
  <c r="D1821" s="1"/>
  <c r="C1821"/>
  <c r="B1822"/>
  <c r="C1822"/>
  <c r="D1822" s="1"/>
  <c r="B1823"/>
  <c r="C1823"/>
  <c r="D1823"/>
  <c r="B1824"/>
  <c r="C1824"/>
  <c r="D1824" s="1"/>
  <c r="B1825"/>
  <c r="D1825" s="1"/>
  <c r="C1825"/>
  <c r="B1826"/>
  <c r="C1826"/>
  <c r="D1826" s="1"/>
  <c r="B1827"/>
  <c r="C1827"/>
  <c r="D1827"/>
  <c r="B1828"/>
  <c r="C1828"/>
  <c r="D1828" s="1"/>
  <c r="B1829"/>
  <c r="D1829" s="1"/>
  <c r="C1829"/>
  <c r="B1830"/>
  <c r="C1830"/>
  <c r="D1830" s="1"/>
  <c r="B1831"/>
  <c r="C1831"/>
  <c r="D1831"/>
  <c r="B1832"/>
  <c r="C1832"/>
  <c r="D1832" s="1"/>
  <c r="B1833"/>
  <c r="D1833" s="1"/>
  <c r="C1833"/>
  <c r="B1834"/>
  <c r="C1834"/>
  <c r="D1834" s="1"/>
  <c r="B1835"/>
  <c r="C1835"/>
  <c r="D1835"/>
  <c r="B1836"/>
  <c r="C1836"/>
  <c r="D1836" s="1"/>
  <c r="B1837"/>
  <c r="D1837" s="1"/>
  <c r="C1837"/>
  <c r="B1838"/>
  <c r="C1838"/>
  <c r="D1838" s="1"/>
  <c r="B1839"/>
  <c r="C1839"/>
  <c r="D1839"/>
  <c r="B1840"/>
  <c r="C1840"/>
  <c r="D1840" s="1"/>
  <c r="B1841"/>
  <c r="D1841" s="1"/>
  <c r="C1841"/>
  <c r="B1842"/>
  <c r="C1842"/>
  <c r="D1842" s="1"/>
  <c r="B1843"/>
  <c r="C1843"/>
  <c r="D1843"/>
  <c r="B1844"/>
  <c r="C1844"/>
  <c r="D1844" s="1"/>
  <c r="B1845"/>
  <c r="D1845" s="1"/>
  <c r="C1845"/>
  <c r="B1846"/>
  <c r="C1846"/>
  <c r="D1846" s="1"/>
  <c r="B1847"/>
  <c r="C1847"/>
  <c r="D1847"/>
  <c r="B1848"/>
  <c r="C1848"/>
  <c r="D1848" s="1"/>
  <c r="B1849"/>
  <c r="D1849" s="1"/>
  <c r="C1849"/>
  <c r="B1850"/>
  <c r="C1850"/>
  <c r="D1850" s="1"/>
  <c r="B1851"/>
  <c r="C1851"/>
  <c r="D1851"/>
  <c r="B1852"/>
  <c r="C1852"/>
  <c r="D1852" s="1"/>
  <c r="B1853"/>
  <c r="D1853" s="1"/>
  <c r="C1853"/>
  <c r="B1854"/>
  <c r="C1854"/>
  <c r="D1854" s="1"/>
  <c r="B1855"/>
  <c r="C1855"/>
  <c r="D1855"/>
  <c r="B1856"/>
  <c r="C1856"/>
  <c r="D1856" s="1"/>
  <c r="B1857"/>
  <c r="D1857" s="1"/>
  <c r="C1857"/>
  <c r="B1858"/>
  <c r="C1858"/>
  <c r="D1858" s="1"/>
  <c r="B1859"/>
  <c r="C1859"/>
  <c r="D1859"/>
  <c r="B1860"/>
  <c r="C1860"/>
  <c r="D1860" s="1"/>
  <c r="B1861"/>
  <c r="D1861" s="1"/>
  <c r="C1861"/>
  <c r="B1862"/>
  <c r="C1862"/>
  <c r="D1862" s="1"/>
  <c r="B1863"/>
  <c r="C1863"/>
  <c r="D1863"/>
  <c r="B1864"/>
  <c r="C1864"/>
  <c r="D1864" s="1"/>
  <c r="B1865"/>
  <c r="D1865" s="1"/>
  <c r="C1865"/>
  <c r="B1866"/>
  <c r="C1866"/>
  <c r="D1866" s="1"/>
  <c r="B1867"/>
  <c r="C1867"/>
  <c r="D1867"/>
  <c r="B1868"/>
  <c r="C1868"/>
  <c r="D1868" s="1"/>
  <c r="D1869"/>
  <c r="U1869" s="1"/>
  <c r="F1869"/>
  <c r="Q1869"/>
  <c r="K1869" l="1"/>
  <c r="O1869"/>
  <c r="T1869"/>
  <c r="J1869"/>
  <c r="N1869"/>
  <c r="S1869"/>
  <c r="M1869"/>
  <c r="R1869"/>
  <c r="V1869" s="1"/>
  <c r="L1869"/>
  <c r="T107" i="1"/>
  <c r="U111"/>
  <c r="T111"/>
  <c r="X112" s="1"/>
  <c r="U113"/>
  <c r="U114"/>
  <c r="T113"/>
  <c r="T117"/>
  <c r="T114"/>
  <c r="G111"/>
  <c r="A111"/>
  <c r="J111"/>
  <c r="T104"/>
  <c r="M105"/>
  <c r="U102"/>
  <c r="T102"/>
  <c r="U79"/>
  <c r="U80"/>
  <c r="U83"/>
  <c r="T76"/>
  <c r="T79"/>
  <c r="T80"/>
  <c r="T83"/>
  <c r="J79"/>
  <c r="G79"/>
  <c r="D1545" i="2"/>
  <c r="D1438"/>
  <c r="D1424"/>
  <c r="D1381"/>
  <c r="D1277"/>
  <c r="D1217"/>
  <c r="D1148"/>
  <c r="D1116"/>
  <c r="D1102"/>
  <c r="D1082"/>
  <c r="D1237"/>
  <c r="D1223"/>
  <c r="D1209"/>
  <c r="D1068"/>
  <c r="D1048"/>
  <c r="D1038"/>
  <c r="D1030"/>
  <c r="D973"/>
  <c r="D921"/>
  <c r="D871"/>
  <c r="D861"/>
  <c r="D847"/>
  <c r="D668"/>
  <c r="D622"/>
  <c r="D576"/>
  <c r="D642"/>
  <c r="D544"/>
  <c r="D312"/>
  <c r="D278"/>
  <c r="D185"/>
  <c r="X161" i="1"/>
  <c r="A180"/>
  <c r="J180"/>
  <c r="G180"/>
  <c r="D79" i="2"/>
  <c r="D43"/>
  <c r="T189" i="1"/>
  <c r="T190"/>
  <c r="U192"/>
  <c r="X191"/>
  <c r="T192"/>
  <c r="U190"/>
  <c r="U189"/>
  <c r="X184"/>
  <c r="G170"/>
  <c r="J170"/>
  <c r="G152"/>
  <c r="J152"/>
  <c r="A152"/>
  <c r="D87" i="2"/>
  <c r="U154" i="1"/>
  <c r="U155"/>
  <c r="T162"/>
  <c r="U163"/>
  <c r="T154"/>
  <c r="T155"/>
  <c r="T163"/>
  <c r="T152"/>
  <c r="U153"/>
  <c r="U158"/>
  <c r="T158"/>
  <c r="X150"/>
  <c r="T139"/>
  <c r="U141"/>
  <c r="X140"/>
  <c r="T141"/>
  <c r="U142"/>
  <c r="T142"/>
  <c r="U139"/>
  <c r="M167"/>
  <c r="J167" s="1"/>
  <c r="O168"/>
  <c r="L167"/>
  <c r="U164"/>
  <c r="V165"/>
  <c r="T164"/>
  <c r="T166"/>
  <c r="X165"/>
  <c r="T127"/>
  <c r="T130"/>
  <c r="U131"/>
  <c r="U132"/>
  <c r="U136"/>
  <c r="T137"/>
  <c r="U138"/>
  <c r="T131"/>
  <c r="T132"/>
  <c r="U134"/>
  <c r="U135"/>
  <c r="T136"/>
  <c r="T138"/>
  <c r="T129"/>
  <c r="X133"/>
  <c r="T134"/>
  <c r="T124"/>
  <c r="X125" s="1"/>
  <c r="U122"/>
  <c r="D42" i="2"/>
  <c r="X149" i="1"/>
  <c r="T122"/>
  <c r="U147"/>
  <c r="T147"/>
  <c r="T121"/>
  <c r="M122"/>
  <c r="T153"/>
  <c r="X183"/>
  <c r="U184"/>
  <c r="T175"/>
  <c r="U170"/>
  <c r="T170"/>
  <c r="U172"/>
  <c r="U156"/>
  <c r="U159"/>
  <c r="T156"/>
  <c r="T159"/>
  <c r="U161"/>
  <c r="M119"/>
  <c r="T118"/>
  <c r="D13" i="2"/>
  <c r="M115" i="1"/>
  <c r="U185"/>
  <c r="U180"/>
  <c r="T185"/>
  <c r="U187"/>
  <c r="U188"/>
  <c r="T180"/>
  <c r="T181"/>
  <c r="U182"/>
  <c r="X186"/>
  <c r="T187"/>
  <c r="T188"/>
  <c r="T174"/>
  <c r="M175"/>
  <c r="D166"/>
  <c r="J166"/>
  <c r="A166"/>
  <c r="T143"/>
  <c r="T144"/>
  <c r="U146"/>
  <c r="T151"/>
  <c r="X145"/>
  <c r="T146"/>
  <c r="U149"/>
  <c r="X182"/>
  <c r="M162"/>
  <c r="M129"/>
  <c r="T31"/>
  <c r="X32"/>
  <c r="T36"/>
  <c r="U30"/>
  <c r="U34"/>
  <c r="U35"/>
  <c r="T30"/>
  <c r="T34"/>
  <c r="T35"/>
  <c r="T38"/>
  <c r="U31"/>
  <c r="U36"/>
  <c r="T29"/>
  <c r="M30"/>
  <c r="T9"/>
  <c r="T13"/>
  <c r="U15"/>
  <c r="U16"/>
  <c r="U12"/>
  <c r="X14"/>
  <c r="T15"/>
  <c r="T16"/>
  <c r="U7"/>
  <c r="W7" s="1"/>
  <c r="T12"/>
  <c r="T7"/>
  <c r="U13"/>
  <c r="X6"/>
  <c r="V6"/>
  <c r="U101"/>
  <c r="T101"/>
  <c r="U105"/>
  <c r="T105"/>
  <c r="M68"/>
  <c r="T68"/>
  <c r="U62"/>
  <c r="T65"/>
  <c r="U60"/>
  <c r="T62"/>
  <c r="T60"/>
  <c r="T19"/>
  <c r="M20"/>
  <c r="W8"/>
  <c r="G9"/>
  <c r="D9"/>
  <c r="J9"/>
  <c r="P113"/>
  <c r="M75"/>
  <c r="M64"/>
  <c r="M61"/>
  <c r="M46"/>
  <c r="U90"/>
  <c r="T90"/>
  <c r="U95"/>
  <c r="T95"/>
  <c r="U96"/>
  <c r="T96"/>
  <c r="U39"/>
  <c r="W39" s="1"/>
  <c r="T41"/>
  <c r="U37"/>
  <c r="T39"/>
  <c r="T37"/>
  <c r="U43"/>
  <c r="X40"/>
  <c r="U41"/>
  <c r="T43"/>
  <c r="V8"/>
  <c r="X8"/>
  <c r="M95"/>
  <c r="M66"/>
  <c r="M59"/>
  <c r="M12"/>
  <c r="T85"/>
  <c r="U91"/>
  <c r="T94"/>
  <c r="U86"/>
  <c r="U87"/>
  <c r="T91"/>
  <c r="U82"/>
  <c r="T86"/>
  <c r="T87"/>
  <c r="U89"/>
  <c r="U92"/>
  <c r="T82"/>
  <c r="T84"/>
  <c r="U85"/>
  <c r="X88"/>
  <c r="T89"/>
  <c r="T92"/>
  <c r="T93"/>
  <c r="U94"/>
  <c r="G82"/>
  <c r="J82"/>
  <c r="T64"/>
  <c r="U67"/>
  <c r="U71"/>
  <c r="T77"/>
  <c r="T78"/>
  <c r="T67"/>
  <c r="T71"/>
  <c r="U73"/>
  <c r="U74"/>
  <c r="T69"/>
  <c r="X72"/>
  <c r="T73"/>
  <c r="T74"/>
  <c r="U64"/>
  <c r="T66"/>
  <c r="U78"/>
  <c r="T55"/>
  <c r="M56"/>
  <c r="U44"/>
  <c r="T46"/>
  <c r="T47"/>
  <c r="T50"/>
  <c r="T44"/>
  <c r="U45"/>
  <c r="U51"/>
  <c r="U54"/>
  <c r="T56"/>
  <c r="T42"/>
  <c r="T45"/>
  <c r="T51"/>
  <c r="T54"/>
  <c r="U46"/>
  <c r="U47"/>
  <c r="U50"/>
  <c r="X10"/>
  <c r="T11"/>
  <c r="U11"/>
  <c r="M37"/>
  <c r="M33"/>
  <c r="O10"/>
  <c r="L9"/>
  <c r="X51" l="1"/>
  <c r="X56"/>
  <c r="X44"/>
  <c r="X46"/>
  <c r="X73"/>
  <c r="X77"/>
  <c r="X93"/>
  <c r="X91"/>
  <c r="X94"/>
  <c r="X90"/>
  <c r="X101"/>
  <c r="X12"/>
  <c r="X13"/>
  <c r="X34"/>
  <c r="X31"/>
  <c r="X151"/>
  <c r="T168"/>
  <c r="T169"/>
  <c r="U173"/>
  <c r="T176"/>
  <c r="T177"/>
  <c r="U178"/>
  <c r="T179"/>
  <c r="T173"/>
  <c r="T178"/>
  <c r="U168"/>
  <c r="U177"/>
  <c r="U176"/>
  <c r="G119"/>
  <c r="D119"/>
  <c r="J119"/>
  <c r="X175"/>
  <c r="X137"/>
  <c r="V166"/>
  <c r="X166"/>
  <c r="X142"/>
  <c r="X152"/>
  <c r="X154"/>
  <c r="K1601" i="2"/>
  <c r="X54" i="1"/>
  <c r="X42"/>
  <c r="X47"/>
  <c r="T48"/>
  <c r="T52"/>
  <c r="T53"/>
  <c r="U57"/>
  <c r="U58"/>
  <c r="U63"/>
  <c r="T57"/>
  <c r="T58"/>
  <c r="T63"/>
  <c r="U52"/>
  <c r="U53"/>
  <c r="X55"/>
  <c r="X74"/>
  <c r="X78"/>
  <c r="X39"/>
  <c r="V39"/>
  <c r="X96"/>
  <c r="U21"/>
  <c r="U27"/>
  <c r="T21"/>
  <c r="T27"/>
  <c r="U17"/>
  <c r="U18"/>
  <c r="U24"/>
  <c r="T17"/>
  <c r="T18"/>
  <c r="X19" s="1"/>
  <c r="T24"/>
  <c r="T25"/>
  <c r="T61"/>
  <c r="X68"/>
  <c r="T75"/>
  <c r="U70"/>
  <c r="T70"/>
  <c r="U75"/>
  <c r="V7"/>
  <c r="X7"/>
  <c r="X15"/>
  <c r="U23"/>
  <c r="T32"/>
  <c r="U20"/>
  <c r="T23"/>
  <c r="U26"/>
  <c r="T20"/>
  <c r="T22"/>
  <c r="T26"/>
  <c r="U28"/>
  <c r="T28"/>
  <c r="U32"/>
  <c r="X35"/>
  <c r="G162"/>
  <c r="J162"/>
  <c r="X143"/>
  <c r="J115"/>
  <c r="G115"/>
  <c r="U120"/>
  <c r="X118"/>
  <c r="X159"/>
  <c r="U167"/>
  <c r="X155"/>
  <c r="X11"/>
  <c r="X45"/>
  <c r="X69"/>
  <c r="X67"/>
  <c r="X89"/>
  <c r="X82"/>
  <c r="X86"/>
  <c r="X85"/>
  <c r="X95"/>
  <c r="X62"/>
  <c r="X16"/>
  <c r="X38"/>
  <c r="X30"/>
  <c r="X36"/>
  <c r="X146"/>
  <c r="X144"/>
  <c r="X187"/>
  <c r="X180"/>
  <c r="X153"/>
  <c r="X147"/>
  <c r="X134"/>
  <c r="X135"/>
  <c r="X136"/>
  <c r="X131"/>
  <c r="X141"/>
  <c r="X162"/>
  <c r="X192"/>
  <c r="X189"/>
  <c r="X160"/>
  <c r="X156"/>
  <c r="M10"/>
  <c r="O11"/>
  <c r="L10"/>
  <c r="X50"/>
  <c r="X66"/>
  <c r="X71"/>
  <c r="X92"/>
  <c r="X84"/>
  <c r="X87"/>
  <c r="X43"/>
  <c r="V37"/>
  <c r="X37"/>
  <c r="X41"/>
  <c r="X60"/>
  <c r="X65"/>
  <c r="X105"/>
  <c r="X9"/>
  <c r="V9"/>
  <c r="X188"/>
  <c r="X181"/>
  <c r="X185"/>
  <c r="X170"/>
  <c r="X171"/>
  <c r="U115"/>
  <c r="W115" s="1"/>
  <c r="T119"/>
  <c r="T120"/>
  <c r="T128"/>
  <c r="T115"/>
  <c r="T116"/>
  <c r="X121"/>
  <c r="U123"/>
  <c r="U126"/>
  <c r="T123"/>
  <c r="T126"/>
  <c r="U119"/>
  <c r="X123"/>
  <c r="X138"/>
  <c r="X132"/>
  <c r="X130"/>
  <c r="X164"/>
  <c r="T167"/>
  <c r="O169"/>
  <c r="M168"/>
  <c r="L168"/>
  <c r="X139"/>
  <c r="X158"/>
  <c r="X163"/>
  <c r="X190"/>
  <c r="X97"/>
  <c r="X148"/>
  <c r="X79"/>
  <c r="K1663" i="2"/>
  <c r="J1684"/>
  <c r="J1864"/>
  <c r="J1680"/>
  <c r="J1739"/>
  <c r="J1642"/>
  <c r="K1657"/>
  <c r="K1669"/>
  <c r="J1733"/>
  <c r="K1757"/>
  <c r="J1767"/>
  <c r="J1774"/>
  <c r="J1783"/>
  <c r="J1790"/>
  <c r="J1799"/>
  <c r="J1806"/>
  <c r="J1815"/>
  <c r="J1822"/>
  <c r="J1831"/>
  <c r="J1838"/>
  <c r="J1847"/>
  <c r="J1854"/>
  <c r="J1863"/>
  <c r="K1814"/>
  <c r="K1846"/>
  <c r="K1688"/>
  <c r="J1769"/>
  <c r="J1803"/>
  <c r="J1810"/>
  <c r="K1848"/>
  <c r="K1633"/>
  <c r="J1654"/>
  <c r="J1714"/>
  <c r="K1735"/>
  <c r="J1788"/>
  <c r="K1801"/>
  <c r="K1817"/>
  <c r="K1849"/>
  <c r="J1868"/>
  <c r="J1624"/>
  <c r="J1722"/>
  <c r="J1800"/>
  <c r="K1677"/>
  <c r="X80" i="1"/>
  <c r="J1606" i="2"/>
  <c r="K1613"/>
  <c r="K1619"/>
  <c r="K1623"/>
  <c r="K1631"/>
  <c r="K1635"/>
  <c r="K1645"/>
  <c r="K1647"/>
  <c r="K1653"/>
  <c r="K1661"/>
  <c r="K1665"/>
  <c r="K1675"/>
  <c r="K1679"/>
  <c r="K1683"/>
  <c r="K1689"/>
  <c r="K1693"/>
  <c r="K1701"/>
  <c r="K1705"/>
  <c r="K1716"/>
  <c r="K1720"/>
  <c r="K1726"/>
  <c r="K1730"/>
  <c r="K1738"/>
  <c r="K1744"/>
  <c r="K1748"/>
  <c r="K1758"/>
  <c r="J1613"/>
  <c r="J1619"/>
  <c r="J1623"/>
  <c r="J1631"/>
  <c r="J1635"/>
  <c r="J1645"/>
  <c r="J1647"/>
  <c r="J1653"/>
  <c r="J1661"/>
  <c r="J1665"/>
  <c r="J1675"/>
  <c r="J1679"/>
  <c r="J1683"/>
  <c r="J1689"/>
  <c r="J1693"/>
  <c r="J1701"/>
  <c r="J1705"/>
  <c r="J1716"/>
  <c r="J1720"/>
  <c r="J1726"/>
  <c r="J1730"/>
  <c r="J1738"/>
  <c r="J1744"/>
  <c r="J1748"/>
  <c r="J1758"/>
  <c r="J1601"/>
  <c r="K1606"/>
  <c r="K1610"/>
  <c r="J1611"/>
  <c r="J1629"/>
  <c r="K1632"/>
  <c r="J1633"/>
  <c r="K1636"/>
  <c r="J1637"/>
  <c r="K1650"/>
  <c r="J1651"/>
  <c r="K1654"/>
  <c r="J1655"/>
  <c r="J1695"/>
  <c r="J1754"/>
  <c r="J1760"/>
  <c r="J1776"/>
  <c r="J1792"/>
  <c r="J1808"/>
  <c r="J1824"/>
  <c r="J1840"/>
  <c r="J1856"/>
  <c r="K1765"/>
  <c r="K1781"/>
  <c r="K1797"/>
  <c r="K1684"/>
  <c r="K1755"/>
  <c r="K1761"/>
  <c r="J1764"/>
  <c r="K1777"/>
  <c r="K1793"/>
  <c r="J1796"/>
  <c r="K1620"/>
  <c r="J1621"/>
  <c r="K1624"/>
  <c r="J1625"/>
  <c r="K1648"/>
  <c r="K1711"/>
  <c r="K1717"/>
  <c r="J1718"/>
  <c r="J1742"/>
  <c r="K1745"/>
  <c r="J1746"/>
  <c r="K1749"/>
  <c r="K1658"/>
  <c r="K1670"/>
  <c r="K1676"/>
  <c r="J1687"/>
  <c r="K1698"/>
  <c r="K1702"/>
  <c r="J1707"/>
  <c r="J1728"/>
  <c r="K1739"/>
  <c r="K1829"/>
  <c r="K1638"/>
  <c r="J1641"/>
  <c r="J1663"/>
  <c r="J1780"/>
  <c r="K1642"/>
  <c r="J1677"/>
  <c r="K1680"/>
  <c r="K1686"/>
  <c r="J1699"/>
  <c r="J1703"/>
  <c r="K1706"/>
  <c r="K1727"/>
  <c r="K1731"/>
  <c r="J1740"/>
  <c r="K1813"/>
  <c r="K1845"/>
  <c r="K1861"/>
  <c r="J1657"/>
  <c r="K1662"/>
  <c r="K1666"/>
  <c r="J1669"/>
  <c r="J1685"/>
  <c r="J1691"/>
  <c r="K1696"/>
  <c r="J1756"/>
  <c r="K1809"/>
  <c r="J1812"/>
  <c r="K1825"/>
  <c r="J1828"/>
  <c r="K1841"/>
  <c r="J1844"/>
  <c r="K1857"/>
  <c r="J1860"/>
  <c r="J1784"/>
  <c r="J1867"/>
  <c r="J1849"/>
  <c r="J1785"/>
  <c r="J1778"/>
  <c r="J1771"/>
  <c r="K1762"/>
  <c r="J1737"/>
  <c r="K1678"/>
  <c r="K1673"/>
  <c r="J1823"/>
  <c r="J1798"/>
  <c r="K1788"/>
  <c r="K1743"/>
  <c r="J1715"/>
  <c r="K1659"/>
  <c r="K1646"/>
  <c r="J1622"/>
  <c r="J1731"/>
  <c r="K1699"/>
  <c r="K1718"/>
  <c r="J1620"/>
  <c r="K1858"/>
  <c r="K1851"/>
  <c r="K1751"/>
  <c r="K1713"/>
  <c r="J1710"/>
  <c r="J1603"/>
  <c r="K1862"/>
  <c r="J1862"/>
  <c r="K1855"/>
  <c r="J1839"/>
  <c r="J1821"/>
  <c r="K1791"/>
  <c r="K1747"/>
  <c r="K1694"/>
  <c r="J1618"/>
  <c r="K1866"/>
  <c r="J1866"/>
  <c r="K1859"/>
  <c r="K1850"/>
  <c r="K1843"/>
  <c r="K1834"/>
  <c r="J1834"/>
  <c r="K1827"/>
  <c r="K1818"/>
  <c r="K1811"/>
  <c r="K1802"/>
  <c r="K1795"/>
  <c r="K1786"/>
  <c r="K1779"/>
  <c r="K1770"/>
  <c r="K1763"/>
  <c r="J1755"/>
  <c r="K1724"/>
  <c r="J1712"/>
  <c r="K1690"/>
  <c r="J1668"/>
  <c r="J1649"/>
  <c r="J1640"/>
  <c r="K1630"/>
  <c r="K1629"/>
  <c r="K1604"/>
  <c r="J1816"/>
  <c r="K1865"/>
  <c r="J1820"/>
  <c r="K1769"/>
  <c r="J1801"/>
  <c r="J1762"/>
  <c r="J1678"/>
  <c r="K1639"/>
  <c r="K1852"/>
  <c r="J1773"/>
  <c r="J1743"/>
  <c r="K1671"/>
  <c r="J1659"/>
  <c r="J1646"/>
  <c r="J1702"/>
  <c r="J1768"/>
  <c r="K1625"/>
  <c r="J1851"/>
  <c r="K1835"/>
  <c r="K1816"/>
  <c r="J1751"/>
  <c r="K1725"/>
  <c r="J1713"/>
  <c r="K1697"/>
  <c r="K1674"/>
  <c r="J1855"/>
  <c r="J1791"/>
  <c r="K1782"/>
  <c r="K1775"/>
  <c r="K1772"/>
  <c r="K1753"/>
  <c r="J1747"/>
  <c r="J1694"/>
  <c r="K1643"/>
  <c r="K1628"/>
  <c r="J1616"/>
  <c r="J1859"/>
  <c r="J1850"/>
  <c r="J1843"/>
  <c r="J1827"/>
  <c r="J1818"/>
  <c r="J1811"/>
  <c r="J1802"/>
  <c r="J1795"/>
  <c r="J1786"/>
  <c r="J1779"/>
  <c r="J1770"/>
  <c r="J1763"/>
  <c r="K1754"/>
  <c r="K1736"/>
  <c r="J1724"/>
  <c r="J1696"/>
  <c r="J1690"/>
  <c r="K1652"/>
  <c r="J1638"/>
  <c r="K1634"/>
  <c r="J1630"/>
  <c r="K1608"/>
  <c r="J1604"/>
  <c r="K1723"/>
  <c r="J1817"/>
  <c r="K1722"/>
  <c r="J1639"/>
  <c r="K1807"/>
  <c r="K1804"/>
  <c r="K1752"/>
  <c r="J1671"/>
  <c r="K1707"/>
  <c r="J1848"/>
  <c r="J1745"/>
  <c r="J1673"/>
  <c r="K1842"/>
  <c r="K1832"/>
  <c r="K1794"/>
  <c r="K1787"/>
  <c r="K1784"/>
  <c r="J1735"/>
  <c r="K1729"/>
  <c r="J1725"/>
  <c r="J1697"/>
  <c r="J1674"/>
  <c r="K1839"/>
  <c r="J1789"/>
  <c r="J1782"/>
  <c r="J1775"/>
  <c r="K1766"/>
  <c r="K1759"/>
  <c r="J1753"/>
  <c r="K1732"/>
  <c r="K1719"/>
  <c r="K1714"/>
  <c r="K1681"/>
  <c r="J1643"/>
  <c r="J1628"/>
  <c r="J1857"/>
  <c r="J1841"/>
  <c r="J1825"/>
  <c r="J1809"/>
  <c r="J1793"/>
  <c r="J1777"/>
  <c r="J1761"/>
  <c r="K1750"/>
  <c r="J1736"/>
  <c r="K1709"/>
  <c r="K1695"/>
  <c r="K1656"/>
  <c r="J1652"/>
  <c r="J1634"/>
  <c r="K1612"/>
  <c r="J1608"/>
  <c r="K1708"/>
  <c r="K1867"/>
  <c r="K1864"/>
  <c r="J1833"/>
  <c r="K1778"/>
  <c r="K1771"/>
  <c r="K1768"/>
  <c r="J1741"/>
  <c r="K1737"/>
  <c r="K1734"/>
  <c r="K1823"/>
  <c r="J1807"/>
  <c r="K1798"/>
  <c r="K1715"/>
  <c r="K1622"/>
  <c r="K1615"/>
  <c r="K1728"/>
  <c r="J1749"/>
  <c r="J1858"/>
  <c r="J1842"/>
  <c r="J1835"/>
  <c r="J1794"/>
  <c r="J1787"/>
  <c r="J1729"/>
  <c r="K1710"/>
  <c r="K1603"/>
  <c r="K1868"/>
  <c r="K1836"/>
  <c r="J1766"/>
  <c r="J1759"/>
  <c r="J1732"/>
  <c r="J1719"/>
  <c r="J1681"/>
  <c r="J1626"/>
  <c r="K1618"/>
  <c r="K1856"/>
  <c r="K1840"/>
  <c r="K1824"/>
  <c r="K1808"/>
  <c r="K1792"/>
  <c r="K1776"/>
  <c r="K1760"/>
  <c r="J1750"/>
  <c r="K1712"/>
  <c r="J1709"/>
  <c r="K1668"/>
  <c r="J1656"/>
  <c r="K1649"/>
  <c r="K1640"/>
  <c r="J1612"/>
  <c r="X113" i="1"/>
  <c r="J1662" i="2"/>
  <c r="K1756"/>
  <c r="K1773"/>
  <c r="K1789"/>
  <c r="K1805"/>
  <c r="K1821"/>
  <c r="K1837"/>
  <c r="K1853"/>
  <c r="J1676"/>
  <c r="J1627"/>
  <c r="J1644"/>
  <c r="J1658"/>
  <c r="J1664"/>
  <c r="J1670"/>
  <c r="J1682"/>
  <c r="J1721"/>
  <c r="K1733"/>
  <c r="K1767"/>
  <c r="K1774"/>
  <c r="K1783"/>
  <c r="K1790"/>
  <c r="K1799"/>
  <c r="K1806"/>
  <c r="K1815"/>
  <c r="K1822"/>
  <c r="K1838"/>
  <c r="K1847"/>
  <c r="K1854"/>
  <c r="K1863"/>
  <c r="J1805"/>
  <c r="K1820"/>
  <c r="J1837"/>
  <c r="J1846"/>
  <c r="J1614"/>
  <c r="J1667"/>
  <c r="J1704"/>
  <c r="J1723"/>
  <c r="K1800"/>
  <c r="K1803"/>
  <c r="K1810"/>
  <c r="J1865"/>
  <c r="J1615"/>
  <c r="J1632"/>
  <c r="K1651"/>
  <c r="K1833"/>
  <c r="K1621"/>
  <c r="J1717"/>
  <c r="K1746"/>
  <c r="J1706"/>
  <c r="X83" i="1"/>
  <c r="X117"/>
  <c r="K1616" i="2"/>
  <c r="J1727"/>
  <c r="J1617"/>
  <c r="K1627"/>
  <c r="K1644"/>
  <c r="J1660"/>
  <c r="K1664"/>
  <c r="J1672"/>
  <c r="K1682"/>
  <c r="J1686"/>
  <c r="J1692"/>
  <c r="K1721"/>
  <c r="K1764"/>
  <c r="K1780"/>
  <c r="K1796"/>
  <c r="K1812"/>
  <c r="K1828"/>
  <c r="K1831"/>
  <c r="K1844"/>
  <c r="K1860"/>
  <c r="J1830"/>
  <c r="K1830"/>
  <c r="K1614"/>
  <c r="K1667"/>
  <c r="J1700"/>
  <c r="K1704"/>
  <c r="J1708"/>
  <c r="J1819"/>
  <c r="J1826"/>
  <c r="K1611"/>
  <c r="K1637"/>
  <c r="J1650"/>
  <c r="K1741"/>
  <c r="J1752"/>
  <c r="K1785"/>
  <c r="J1852"/>
  <c r="J1648"/>
  <c r="K1742"/>
  <c r="K1703"/>
  <c r="K1740"/>
  <c r="X76" i="1"/>
  <c r="T98"/>
  <c r="T103"/>
  <c r="X104"/>
  <c r="U108"/>
  <c r="U99"/>
  <c r="U106"/>
  <c r="T108"/>
  <c r="U109"/>
  <c r="T99"/>
  <c r="U103"/>
  <c r="T106"/>
  <c r="T109"/>
  <c r="T110"/>
  <c r="X111" s="1"/>
  <c r="X114"/>
  <c r="X81"/>
  <c r="K1626" i="2"/>
  <c r="J1666"/>
  <c r="K1685"/>
  <c r="J1698"/>
  <c r="K1617"/>
  <c r="K1641"/>
  <c r="K1660"/>
  <c r="K1672"/>
  <c r="K1691"/>
  <c r="K1692"/>
  <c r="J1757"/>
  <c r="J1765"/>
  <c r="J1781"/>
  <c r="J1797"/>
  <c r="J1813"/>
  <c r="J1829"/>
  <c r="J1845"/>
  <c r="J1861"/>
  <c r="J1814"/>
  <c r="J1853"/>
  <c r="J1688"/>
  <c r="K1700"/>
  <c r="K1819"/>
  <c r="K1826"/>
  <c r="J1610"/>
  <c r="J1636"/>
  <c r="K1655"/>
  <c r="J1772"/>
  <c r="J1804"/>
  <c r="J1836"/>
  <c r="J1711"/>
  <c r="J1734"/>
  <c r="J1832"/>
  <c r="K1687"/>
  <c r="X106" i="1" l="1"/>
  <c r="X126"/>
  <c r="X120"/>
  <c r="G10"/>
  <c r="J10"/>
  <c r="X28"/>
  <c r="X22"/>
  <c r="X75"/>
  <c r="X24"/>
  <c r="X21"/>
  <c r="X58"/>
  <c r="X59"/>
  <c r="X48"/>
  <c r="X49"/>
  <c r="X173"/>
  <c r="X176"/>
  <c r="X168"/>
  <c r="X127"/>
  <c r="X109"/>
  <c r="X98"/>
  <c r="X99"/>
  <c r="V167"/>
  <c r="X167"/>
  <c r="X128"/>
  <c r="O13"/>
  <c r="M11"/>
  <c r="V10" s="1"/>
  <c r="L11"/>
  <c r="O12"/>
  <c r="X26"/>
  <c r="X23"/>
  <c r="X25"/>
  <c r="X27"/>
  <c r="X63"/>
  <c r="X52"/>
  <c r="X178"/>
  <c r="X177"/>
  <c r="X169"/>
  <c r="X107"/>
  <c r="X110"/>
  <c r="X103"/>
  <c r="M169"/>
  <c r="J169" s="1"/>
  <c r="L169"/>
  <c r="O170"/>
  <c r="L170" s="1"/>
  <c r="O171"/>
  <c r="X115"/>
  <c r="V115"/>
  <c r="X61"/>
  <c r="X17"/>
  <c r="X53"/>
  <c r="X29"/>
  <c r="X174"/>
  <c r="X64"/>
  <c r="X108"/>
  <c r="G168"/>
  <c r="D168"/>
  <c r="J168"/>
  <c r="X116"/>
  <c r="X119"/>
  <c r="X70"/>
  <c r="X18"/>
  <c r="X57"/>
  <c r="X179"/>
  <c r="W167"/>
  <c r="X129"/>
  <c r="W168"/>
  <c r="L171" l="1"/>
  <c r="O172"/>
  <c r="M171"/>
  <c r="O14"/>
  <c r="M13"/>
  <c r="L13"/>
  <c r="V168"/>
  <c r="J11"/>
  <c r="W11"/>
  <c r="V11"/>
  <c r="V169"/>
  <c r="G13" l="1"/>
  <c r="A13"/>
  <c r="J13"/>
  <c r="W13"/>
  <c r="W12"/>
  <c r="V12"/>
  <c r="M172"/>
  <c r="L172"/>
  <c r="O173"/>
  <c r="J171"/>
  <c r="V171"/>
  <c r="V170"/>
  <c r="W170"/>
  <c r="M14"/>
  <c r="O15"/>
  <c r="L14"/>
  <c r="J172" l="1"/>
  <c r="V172"/>
  <c r="O174"/>
  <c r="M173"/>
  <c r="L173"/>
  <c r="J14"/>
  <c r="V14"/>
  <c r="V13"/>
  <c r="O16"/>
  <c r="M15"/>
  <c r="L15"/>
  <c r="J173" l="1"/>
  <c r="G173"/>
  <c r="D173"/>
  <c r="V173"/>
  <c r="W173"/>
  <c r="M16"/>
  <c r="L16"/>
  <c r="O17"/>
  <c r="J15"/>
  <c r="W15"/>
  <c r="W172"/>
  <c r="O175"/>
  <c r="O176"/>
  <c r="M174"/>
  <c r="L174"/>
  <c r="M17" l="1"/>
  <c r="L17"/>
  <c r="O18"/>
  <c r="O177"/>
  <c r="M176"/>
  <c r="L176"/>
  <c r="J16"/>
  <c r="V16"/>
  <c r="W16"/>
  <c r="J174"/>
  <c r="V174"/>
  <c r="V15"/>
  <c r="J176" l="1"/>
  <c r="V175"/>
  <c r="W175"/>
  <c r="W176"/>
  <c r="V176"/>
  <c r="D17"/>
  <c r="J17"/>
  <c r="G17"/>
  <c r="V17"/>
  <c r="M177"/>
  <c r="O178"/>
  <c r="L177"/>
  <c r="M18"/>
  <c r="L18"/>
  <c r="O19"/>
  <c r="M19" l="1"/>
  <c r="L19"/>
  <c r="O21"/>
  <c r="O179"/>
  <c r="M178"/>
  <c r="L178"/>
  <c r="J18"/>
  <c r="V18"/>
  <c r="W18"/>
  <c r="J177"/>
  <c r="V177"/>
  <c r="W177"/>
  <c r="W17"/>
  <c r="M179" l="1"/>
  <c r="L179"/>
  <c r="O181"/>
  <c r="J19"/>
  <c r="J178"/>
  <c r="G178"/>
  <c r="D178"/>
  <c r="M21"/>
  <c r="V19" s="1"/>
  <c r="O22"/>
  <c r="L21"/>
  <c r="O20"/>
  <c r="J179" l="1"/>
  <c r="V179"/>
  <c r="L22"/>
  <c r="O23"/>
  <c r="M22"/>
  <c r="V178"/>
  <c r="W178"/>
  <c r="O180"/>
  <c r="L180" s="1"/>
  <c r="J21"/>
  <c r="L181"/>
  <c r="O182"/>
  <c r="M181"/>
  <c r="M182" l="1"/>
  <c r="L182"/>
  <c r="O183"/>
  <c r="D22"/>
  <c r="J22"/>
  <c r="G22"/>
  <c r="J181"/>
  <c r="V180"/>
  <c r="V181"/>
  <c r="W180"/>
  <c r="W21"/>
  <c r="V21"/>
  <c r="M23"/>
  <c r="L23"/>
  <c r="O24"/>
  <c r="O25"/>
  <c r="J182" l="1"/>
  <c r="V182"/>
  <c r="M25"/>
  <c r="L25"/>
  <c r="O27"/>
  <c r="J23"/>
  <c r="G23"/>
  <c r="W23"/>
  <c r="V23"/>
  <c r="M183"/>
  <c r="O184"/>
  <c r="L183"/>
  <c r="V22"/>
  <c r="M27" l="1"/>
  <c r="L27"/>
  <c r="O29"/>
  <c r="J183"/>
  <c r="G183"/>
  <c r="J25"/>
  <c r="V24"/>
  <c r="V25"/>
  <c r="W24"/>
  <c r="M184"/>
  <c r="L184"/>
  <c r="O186"/>
  <c r="O26"/>
  <c r="W182"/>
  <c r="M29" l="1"/>
  <c r="O31"/>
  <c r="L29"/>
  <c r="O30"/>
  <c r="J27"/>
  <c r="A27"/>
  <c r="G27"/>
  <c r="W26"/>
  <c r="V26"/>
  <c r="W27"/>
  <c r="V27"/>
  <c r="G184"/>
  <c r="D184"/>
  <c r="J184"/>
  <c r="V184"/>
  <c r="W184"/>
  <c r="M186"/>
  <c r="O187"/>
  <c r="L186"/>
  <c r="O185"/>
  <c r="V183"/>
  <c r="O28"/>
  <c r="J186" l="1"/>
  <c r="V186"/>
  <c r="W185"/>
  <c r="V185"/>
  <c r="J29"/>
  <c r="V29"/>
  <c r="W28"/>
  <c r="V28"/>
  <c r="L187"/>
  <c r="O188"/>
  <c r="M187"/>
  <c r="O32"/>
  <c r="M31"/>
  <c r="L31"/>
  <c r="M32" l="1"/>
  <c r="L32"/>
  <c r="O34"/>
  <c r="G31"/>
  <c r="D31"/>
  <c r="J31"/>
  <c r="V31"/>
  <c r="V30"/>
  <c r="W30"/>
  <c r="L188"/>
  <c r="O189"/>
  <c r="M188"/>
  <c r="J187"/>
  <c r="W187"/>
  <c r="V187"/>
  <c r="J32" l="1"/>
  <c r="L34"/>
  <c r="O35"/>
  <c r="M34"/>
  <c r="O190"/>
  <c r="M189"/>
  <c r="L189"/>
  <c r="J188"/>
  <c r="W188"/>
  <c r="V188"/>
  <c r="W31"/>
  <c r="O33"/>
  <c r="L35" l="1"/>
  <c r="O36"/>
  <c r="M35"/>
  <c r="J34"/>
  <c r="V34"/>
  <c r="W34"/>
  <c r="O191"/>
  <c r="M190"/>
  <c r="W189" s="1"/>
  <c r="L190"/>
  <c r="V32"/>
  <c r="W32"/>
  <c r="G189"/>
  <c r="D189"/>
  <c r="J189"/>
  <c r="V189"/>
  <c r="M36" l="1"/>
  <c r="L36"/>
  <c r="O38"/>
  <c r="M191"/>
  <c r="O192"/>
  <c r="L191"/>
  <c r="J35"/>
  <c r="V35"/>
  <c r="J190"/>
  <c r="W190"/>
  <c r="V190"/>
  <c r="L38" l="1"/>
  <c r="O39"/>
  <c r="O40"/>
  <c r="M38"/>
  <c r="J191"/>
  <c r="V191"/>
  <c r="G36"/>
  <c r="D36"/>
  <c r="J36"/>
  <c r="W36"/>
  <c r="V36"/>
  <c r="M192"/>
  <c r="O193"/>
  <c r="L192"/>
  <c r="W35"/>
  <c r="O37"/>
  <c r="L193" l="1"/>
  <c r="M193"/>
  <c r="L40"/>
  <c r="O41"/>
  <c r="M40"/>
  <c r="J192"/>
  <c r="J38"/>
  <c r="V38"/>
  <c r="W37"/>
  <c r="G40" l="1"/>
  <c r="J40"/>
  <c r="A193"/>
  <c r="J193"/>
  <c r="G193"/>
  <c r="D193"/>
  <c r="W192"/>
  <c r="M41"/>
  <c r="L41"/>
  <c r="O43"/>
  <c r="V192"/>
  <c r="G41" l="1"/>
  <c r="J41"/>
  <c r="W41"/>
  <c r="V41"/>
  <c r="O42"/>
  <c r="V40"/>
  <c r="M43"/>
  <c r="L43"/>
  <c r="O44"/>
  <c r="O45"/>
  <c r="L45" l="1"/>
  <c r="O46"/>
  <c r="O47"/>
  <c r="M45"/>
  <c r="J43"/>
  <c r="V43"/>
  <c r="W43"/>
  <c r="V42"/>
  <c r="O48" l="1"/>
  <c r="M47"/>
  <c r="L47"/>
  <c r="A45"/>
  <c r="J45"/>
  <c r="G45"/>
  <c r="D45"/>
  <c r="V44"/>
  <c r="W45"/>
  <c r="V45"/>
  <c r="W44"/>
  <c r="O50" l="1"/>
  <c r="M48"/>
  <c r="L48"/>
  <c r="J47"/>
  <c r="V47"/>
  <c r="W46"/>
  <c r="V46"/>
  <c r="W47"/>
  <c r="M50" l="1"/>
  <c r="L50"/>
  <c r="O51"/>
  <c r="J48"/>
  <c r="V48"/>
  <c r="O49"/>
  <c r="J50" l="1"/>
  <c r="V49"/>
  <c r="W50"/>
  <c r="L51"/>
  <c r="O52"/>
  <c r="O53"/>
  <c r="M51"/>
  <c r="M53" l="1"/>
  <c r="L53"/>
  <c r="O55"/>
  <c r="J51"/>
  <c r="G51"/>
  <c r="D51"/>
  <c r="W51"/>
  <c r="V51"/>
  <c r="V50"/>
  <c r="J53" l="1"/>
  <c r="V53"/>
  <c r="V52"/>
  <c r="W52"/>
  <c r="W53"/>
  <c r="L55"/>
  <c r="O57"/>
  <c r="M55"/>
  <c r="O54"/>
  <c r="J55" l="1"/>
  <c r="V55"/>
  <c r="V54"/>
  <c r="W54"/>
  <c r="L57"/>
  <c r="O58"/>
  <c r="M57"/>
  <c r="O56"/>
  <c r="L58" l="1"/>
  <c r="O59"/>
  <c r="O60"/>
  <c r="M58"/>
  <c r="J57"/>
  <c r="V56"/>
  <c r="W57"/>
  <c r="V57"/>
  <c r="L60" l="1"/>
  <c r="O61"/>
  <c r="O62"/>
  <c r="M60"/>
  <c r="D58"/>
  <c r="J58"/>
  <c r="G58"/>
  <c r="V58"/>
  <c r="W58"/>
  <c r="M62" l="1"/>
  <c r="O63"/>
  <c r="L62"/>
  <c r="D60"/>
  <c r="J60"/>
  <c r="W60"/>
  <c r="V60"/>
  <c r="V59"/>
  <c r="J62" l="1"/>
  <c r="W62"/>
  <c r="V61"/>
  <c r="L63"/>
  <c r="O64"/>
  <c r="O65"/>
  <c r="M63"/>
  <c r="V62" s="1"/>
  <c r="M65" l="1"/>
  <c r="O67"/>
  <c r="L65"/>
  <c r="A63"/>
  <c r="J63"/>
  <c r="G63"/>
  <c r="D63"/>
  <c r="V63"/>
  <c r="W63"/>
  <c r="K637" i="2" l="1"/>
  <c r="J643"/>
  <c r="K502"/>
  <c r="K498"/>
  <c r="J502"/>
  <c r="J498"/>
  <c r="K633"/>
  <c r="K643"/>
  <c r="K655"/>
  <c r="K683"/>
  <c r="K630"/>
  <c r="K588"/>
  <c r="K407"/>
  <c r="J652"/>
  <c r="J634"/>
  <c r="J448"/>
  <c r="K664"/>
  <c r="K658"/>
  <c r="K654"/>
  <c r="K650"/>
  <c r="K646"/>
  <c r="K640"/>
  <c r="K636"/>
  <c r="K632"/>
  <c r="K620"/>
  <c r="J545"/>
  <c r="K401"/>
  <c r="K397"/>
  <c r="K393"/>
  <c r="K389"/>
  <c r="J276"/>
  <c r="J684"/>
  <c r="J681"/>
  <c r="J670"/>
  <c r="K589"/>
  <c r="K586"/>
  <c r="J582"/>
  <c r="K573"/>
  <c r="K558"/>
  <c r="J554"/>
  <c r="K547"/>
  <c r="K534"/>
  <c r="J530"/>
  <c r="K516"/>
  <c r="J512"/>
  <c r="K505"/>
  <c r="K471"/>
  <c r="K468"/>
  <c r="J464"/>
  <c r="K438"/>
  <c r="J689"/>
  <c r="K676"/>
  <c r="J671"/>
  <c r="J551"/>
  <c r="K693"/>
  <c r="K610"/>
  <c r="J606"/>
  <c r="K537"/>
  <c r="J496"/>
  <c r="K476"/>
  <c r="K450"/>
  <c r="K425"/>
  <c r="K383"/>
  <c r="J364"/>
  <c r="J612"/>
  <c r="J462"/>
  <c r="J418"/>
  <c r="K685"/>
  <c r="K663"/>
  <c r="J602"/>
  <c r="K590"/>
  <c r="J574"/>
  <c r="K564"/>
  <c r="J560"/>
  <c r="K529"/>
  <c r="K506"/>
  <c r="J434"/>
  <c r="J371"/>
  <c r="J367"/>
  <c r="K599"/>
  <c r="J565"/>
  <c r="J461"/>
  <c r="J453"/>
  <c r="J342"/>
  <c r="K337"/>
  <c r="J319"/>
  <c r="K287"/>
  <c r="K696"/>
  <c r="K593"/>
  <c r="K585"/>
  <c r="K571"/>
  <c r="K549"/>
  <c r="K519"/>
  <c r="K497"/>
  <c r="K483"/>
  <c r="K467"/>
  <c r="K460"/>
  <c r="K452"/>
  <c r="K406"/>
  <c r="K387"/>
  <c r="K373"/>
  <c r="J365"/>
  <c r="K347"/>
  <c r="K334"/>
  <c r="K152"/>
  <c r="J694"/>
  <c r="J688"/>
  <c r="J655"/>
  <c r="J607"/>
  <c r="J591"/>
  <c r="J432"/>
  <c r="J447"/>
  <c r="J439"/>
  <c r="J431"/>
  <c r="J361"/>
  <c r="J321"/>
  <c r="K310"/>
  <c r="K291"/>
  <c r="J270"/>
  <c r="K247"/>
  <c r="K228"/>
  <c r="J224"/>
  <c r="J211"/>
  <c r="K148"/>
  <c r="K424"/>
  <c r="K410"/>
  <c r="K392"/>
  <c r="K380"/>
  <c r="K360"/>
  <c r="J229"/>
  <c r="J343"/>
  <c r="J331"/>
  <c r="K320"/>
  <c r="K200"/>
  <c r="J196"/>
  <c r="K165"/>
  <c r="K139"/>
  <c r="J201"/>
  <c r="J193"/>
  <c r="K288"/>
  <c r="K280"/>
  <c r="J264"/>
  <c r="K254"/>
  <c r="K234"/>
  <c r="J230"/>
  <c r="J208"/>
  <c r="J94"/>
  <c r="K39"/>
  <c r="J265"/>
  <c r="J239"/>
  <c r="J231"/>
  <c r="J180"/>
  <c r="J172"/>
  <c r="J158"/>
  <c r="K149"/>
  <c r="J147"/>
  <c r="J100"/>
  <c r="K92"/>
  <c r="J78"/>
  <c r="K269"/>
  <c r="K253"/>
  <c r="K237"/>
  <c r="K217"/>
  <c r="K199"/>
  <c r="K86"/>
  <c r="J156"/>
  <c r="K127"/>
  <c r="K124"/>
  <c r="K111"/>
  <c r="K90"/>
  <c r="K77"/>
  <c r="K172"/>
  <c r="J170"/>
  <c r="J161"/>
  <c r="K179"/>
  <c r="J162"/>
  <c r="K153"/>
  <c r="K140"/>
  <c r="K128"/>
  <c r="J117"/>
  <c r="J110"/>
  <c r="J88"/>
  <c r="K64"/>
  <c r="K29"/>
  <c r="J29"/>
  <c r="J9"/>
  <c r="K14"/>
  <c r="J144"/>
  <c r="K60"/>
  <c r="K137"/>
  <c r="K118"/>
  <c r="J52"/>
  <c r="J60"/>
  <c r="J69"/>
  <c r="J61"/>
  <c r="K40"/>
  <c r="J20"/>
  <c r="J4"/>
  <c r="K659"/>
  <c r="J407"/>
  <c r="J656"/>
  <c r="J638"/>
  <c r="J499"/>
  <c r="K605"/>
  <c r="J490"/>
  <c r="J664"/>
  <c r="J658"/>
  <c r="J654"/>
  <c r="J650"/>
  <c r="J646"/>
  <c r="J640"/>
  <c r="J636"/>
  <c r="J632"/>
  <c r="K405"/>
  <c r="J401"/>
  <c r="J397"/>
  <c r="J393"/>
  <c r="J389"/>
  <c r="K687"/>
  <c r="K673"/>
  <c r="J589"/>
  <c r="J586"/>
  <c r="J573"/>
  <c r="J558"/>
  <c r="J547"/>
  <c r="J534"/>
  <c r="K520"/>
  <c r="J516"/>
  <c r="J505"/>
  <c r="J471"/>
  <c r="J468"/>
  <c r="K451"/>
  <c r="J446"/>
  <c r="K430"/>
  <c r="K314"/>
  <c r="K209"/>
  <c r="K678"/>
  <c r="K672"/>
  <c r="J579"/>
  <c r="J535"/>
  <c r="J521"/>
  <c r="J513"/>
  <c r="K697"/>
  <c r="J693"/>
  <c r="K614"/>
  <c r="J610"/>
  <c r="J537"/>
  <c r="K480"/>
  <c r="J476"/>
  <c r="J450"/>
  <c r="J383"/>
  <c r="K702"/>
  <c r="K694"/>
  <c r="K615"/>
  <c r="K607"/>
  <c r="J422"/>
  <c r="J685"/>
  <c r="K626"/>
  <c r="K619"/>
  <c r="K594"/>
  <c r="J590"/>
  <c r="J572"/>
  <c r="K568"/>
  <c r="J564"/>
  <c r="J529"/>
  <c r="J506"/>
  <c r="J470"/>
  <c r="K442"/>
  <c r="K691"/>
  <c r="K627"/>
  <c r="J600"/>
  <c r="K595"/>
  <c r="J561"/>
  <c r="K528"/>
  <c r="K494"/>
  <c r="K457"/>
  <c r="K359"/>
  <c r="J323"/>
  <c r="K306"/>
  <c r="J294"/>
  <c r="K279"/>
  <c r="K274"/>
  <c r="K682"/>
  <c r="K581"/>
  <c r="K567"/>
  <c r="K543"/>
  <c r="K515"/>
  <c r="K495"/>
  <c r="K489"/>
  <c r="J449"/>
  <c r="J428"/>
  <c r="J406"/>
  <c r="J387"/>
  <c r="K377"/>
  <c r="J373"/>
  <c r="K351"/>
  <c r="J347"/>
  <c r="J334"/>
  <c r="J329"/>
  <c r="K293"/>
  <c r="J188"/>
  <c r="J686"/>
  <c r="J665"/>
  <c r="J651"/>
  <c r="J625"/>
  <c r="J603"/>
  <c r="J436"/>
  <c r="K443"/>
  <c r="K435"/>
  <c r="J415"/>
  <c r="K411"/>
  <c r="K358"/>
  <c r="J339"/>
  <c r="K321"/>
  <c r="J310"/>
  <c r="K302"/>
  <c r="K283"/>
  <c r="J412"/>
  <c r="K309"/>
  <c r="K301"/>
  <c r="K273"/>
  <c r="J247"/>
  <c r="J228"/>
  <c r="K214"/>
  <c r="K166"/>
  <c r="K420"/>
  <c r="K408"/>
  <c r="K396"/>
  <c r="J271"/>
  <c r="J215"/>
  <c r="K340"/>
  <c r="K328"/>
  <c r="J315"/>
  <c r="J222"/>
  <c r="K204"/>
  <c r="J200"/>
  <c r="K164"/>
  <c r="J141"/>
  <c r="J281"/>
  <c r="J288"/>
  <c r="J280"/>
  <c r="K261"/>
  <c r="K258"/>
  <c r="J254"/>
  <c r="K238"/>
  <c r="J234"/>
  <c r="K223"/>
  <c r="J275"/>
  <c r="J255"/>
  <c r="K158"/>
  <c r="J134"/>
  <c r="K130"/>
  <c r="K126"/>
  <c r="J92"/>
  <c r="K78"/>
  <c r="K263"/>
  <c r="K251"/>
  <c r="K233"/>
  <c r="K213"/>
  <c r="K195"/>
  <c r="K160"/>
  <c r="J124"/>
  <c r="J90"/>
  <c r="J77"/>
  <c r="K55"/>
  <c r="J182"/>
  <c r="K168"/>
  <c r="K175"/>
  <c r="J132"/>
  <c r="K102"/>
  <c r="J28"/>
  <c r="K9"/>
  <c r="K121"/>
  <c r="K105"/>
  <c r="K99"/>
  <c r="J75"/>
  <c r="J48"/>
  <c r="K37"/>
  <c r="K135"/>
  <c r="K82"/>
  <c r="J59"/>
  <c r="J53"/>
  <c r="J46"/>
  <c r="J35"/>
  <c r="J25"/>
  <c r="K5"/>
  <c r="J118"/>
  <c r="K85"/>
  <c r="K52"/>
  <c r="J34"/>
  <c r="K31"/>
  <c r="K58"/>
  <c r="K36"/>
  <c r="K4"/>
  <c r="J22"/>
  <c r="J10"/>
  <c r="K18"/>
  <c r="K665"/>
  <c r="K647"/>
  <c r="J660"/>
  <c r="J644"/>
  <c r="J503"/>
  <c r="J605"/>
  <c r="K490"/>
  <c r="K448"/>
  <c r="J458"/>
  <c r="J687"/>
  <c r="K677"/>
  <c r="J673"/>
  <c r="K661"/>
  <c r="K624"/>
  <c r="K578"/>
  <c r="K550"/>
  <c r="K524"/>
  <c r="J520"/>
  <c r="K508"/>
  <c r="K491"/>
  <c r="K488"/>
  <c r="J451"/>
  <c r="J438"/>
  <c r="K421"/>
  <c r="K417"/>
  <c r="J314"/>
  <c r="J209"/>
  <c r="K674"/>
  <c r="K625"/>
  <c r="J555"/>
  <c r="J531"/>
  <c r="K701"/>
  <c r="J697"/>
  <c r="J691"/>
  <c r="K618"/>
  <c r="J614"/>
  <c r="K540"/>
  <c r="K484"/>
  <c r="J480"/>
  <c r="K473"/>
  <c r="J425"/>
  <c r="K295"/>
  <c r="J703"/>
  <c r="J616"/>
  <c r="J608"/>
  <c r="K449"/>
  <c r="K662"/>
  <c r="J626"/>
  <c r="K598"/>
  <c r="J594"/>
  <c r="J568"/>
  <c r="K556"/>
  <c r="K487"/>
  <c r="K434"/>
  <c r="K386"/>
  <c r="J345"/>
  <c r="J246"/>
  <c r="J628"/>
  <c r="K603"/>
  <c r="J596"/>
  <c r="K591"/>
  <c r="J569"/>
  <c r="J557"/>
  <c r="J457"/>
  <c r="K427"/>
  <c r="J359"/>
  <c r="J341"/>
  <c r="K323"/>
  <c r="K319"/>
  <c r="J306"/>
  <c r="J287"/>
  <c r="J274"/>
  <c r="J186"/>
  <c r="J33"/>
  <c r="K641"/>
  <c r="K587"/>
  <c r="K563"/>
  <c r="K559"/>
  <c r="K539"/>
  <c r="K533"/>
  <c r="K527"/>
  <c r="K511"/>
  <c r="K493"/>
  <c r="K475"/>
  <c r="J297"/>
  <c r="K456"/>
  <c r="K423"/>
  <c r="J385"/>
  <c r="K381"/>
  <c r="J377"/>
  <c r="K355"/>
  <c r="J351"/>
  <c r="K338"/>
  <c r="K330"/>
  <c r="J325"/>
  <c r="K188"/>
  <c r="J152"/>
  <c r="J659"/>
  <c r="J647"/>
  <c r="J637"/>
  <c r="J615"/>
  <c r="J599"/>
  <c r="J440"/>
  <c r="J443"/>
  <c r="J435"/>
  <c r="J411"/>
  <c r="J358"/>
  <c r="K326"/>
  <c r="J317"/>
  <c r="J302"/>
  <c r="K296"/>
  <c r="J291"/>
  <c r="K206"/>
  <c r="K266"/>
  <c r="K218"/>
  <c r="J214"/>
  <c r="K189"/>
  <c r="K416"/>
  <c r="K404"/>
  <c r="K400"/>
  <c r="K372"/>
  <c r="K350"/>
  <c r="J225"/>
  <c r="J335"/>
  <c r="J327"/>
  <c r="K299"/>
  <c r="K249"/>
  <c r="J204"/>
  <c r="K192"/>
  <c r="J164"/>
  <c r="J285"/>
  <c r="J205"/>
  <c r="J197"/>
  <c r="K292"/>
  <c r="K284"/>
  <c r="J261"/>
  <c r="J258"/>
  <c r="J252"/>
  <c r="K242"/>
  <c r="J238"/>
  <c r="J223"/>
  <c r="J72"/>
  <c r="J39"/>
  <c r="J303"/>
  <c r="J243"/>
  <c r="J235"/>
  <c r="J176"/>
  <c r="J168"/>
  <c r="J150"/>
  <c r="K106"/>
  <c r="K259"/>
  <c r="K245"/>
  <c r="K227"/>
  <c r="K207"/>
  <c r="J190"/>
  <c r="J127"/>
  <c r="J125"/>
  <c r="J111"/>
  <c r="J55"/>
  <c r="K54"/>
  <c r="J54"/>
  <c r="K180"/>
  <c r="J178"/>
  <c r="J149"/>
  <c r="J146"/>
  <c r="K171"/>
  <c r="J154"/>
  <c r="J143"/>
  <c r="J140"/>
  <c r="K132"/>
  <c r="K117"/>
  <c r="K114"/>
  <c r="K110"/>
  <c r="J102"/>
  <c r="K96"/>
  <c r="K28"/>
  <c r="K27"/>
  <c r="K120"/>
  <c r="K48"/>
  <c r="J37"/>
  <c r="J31"/>
  <c r="K131"/>
  <c r="J82"/>
  <c r="K17"/>
  <c r="J5"/>
  <c r="J122"/>
  <c r="K112"/>
  <c r="K34"/>
  <c r="K11"/>
  <c r="J131"/>
  <c r="J68"/>
  <c r="K59"/>
  <c r="J17"/>
  <c r="J65"/>
  <c r="J49"/>
  <c r="K32"/>
  <c r="J23"/>
  <c r="J18"/>
  <c r="J16"/>
  <c r="K651"/>
  <c r="J683"/>
  <c r="J630"/>
  <c r="J588"/>
  <c r="J666"/>
  <c r="J648"/>
  <c r="J620"/>
  <c r="K545"/>
  <c r="J405"/>
  <c r="K276"/>
  <c r="K684"/>
  <c r="K681"/>
  <c r="J677"/>
  <c r="K670"/>
  <c r="J661"/>
  <c r="J624"/>
  <c r="K582"/>
  <c r="J578"/>
  <c r="K554"/>
  <c r="J550"/>
  <c r="K530"/>
  <c r="J524"/>
  <c r="K512"/>
  <c r="J508"/>
  <c r="J494"/>
  <c r="J491"/>
  <c r="J488"/>
  <c r="K464"/>
  <c r="K446"/>
  <c r="J430"/>
  <c r="J421"/>
  <c r="J417"/>
  <c r="K688"/>
  <c r="J675"/>
  <c r="J583"/>
  <c r="J525"/>
  <c r="J517"/>
  <c r="J509"/>
  <c r="J701"/>
  <c r="J618"/>
  <c r="K606"/>
  <c r="J540"/>
  <c r="J528"/>
  <c r="K496"/>
  <c r="J484"/>
  <c r="J473"/>
  <c r="K364"/>
  <c r="J295"/>
  <c r="J698"/>
  <c r="K611"/>
  <c r="J541"/>
  <c r="J454"/>
  <c r="J662"/>
  <c r="K602"/>
  <c r="J598"/>
  <c r="K574"/>
  <c r="K560"/>
  <c r="J556"/>
  <c r="J487"/>
  <c r="J442"/>
  <c r="J386"/>
  <c r="K371"/>
  <c r="K367"/>
  <c r="K345"/>
  <c r="K246"/>
  <c r="K686"/>
  <c r="J604"/>
  <c r="J592"/>
  <c r="K461"/>
  <c r="K453"/>
  <c r="J427"/>
  <c r="K342"/>
  <c r="J337"/>
  <c r="K294"/>
  <c r="J279"/>
  <c r="K186"/>
  <c r="K33"/>
  <c r="K700"/>
  <c r="K692"/>
  <c r="K680"/>
  <c r="K577"/>
  <c r="K553"/>
  <c r="K523"/>
  <c r="K507"/>
  <c r="K501"/>
  <c r="K479"/>
  <c r="K469"/>
  <c r="K463"/>
  <c r="K415"/>
  <c r="J423"/>
  <c r="J381"/>
  <c r="K365"/>
  <c r="J355"/>
  <c r="J338"/>
  <c r="J330"/>
  <c r="K325"/>
  <c r="J293"/>
  <c r="J702"/>
  <c r="J678"/>
  <c r="J633"/>
  <c r="J627"/>
  <c r="J611"/>
  <c r="J595"/>
  <c r="J444"/>
  <c r="K447"/>
  <c r="K439"/>
  <c r="K431"/>
  <c r="J409"/>
  <c r="K361"/>
  <c r="K339"/>
  <c r="J326"/>
  <c r="K317"/>
  <c r="J296"/>
  <c r="J283"/>
  <c r="J206"/>
  <c r="K311"/>
  <c r="K305"/>
  <c r="K277"/>
  <c r="K270"/>
  <c r="J266"/>
  <c r="K224"/>
  <c r="J218"/>
  <c r="K211"/>
  <c r="J189"/>
  <c r="J166"/>
  <c r="J148"/>
  <c r="K426"/>
  <c r="K414"/>
  <c r="K384"/>
  <c r="K376"/>
  <c r="K370"/>
  <c r="K354"/>
  <c r="J267"/>
  <c r="J219"/>
  <c r="K344"/>
  <c r="K324"/>
  <c r="J260"/>
  <c r="J249"/>
  <c r="K196"/>
  <c r="J192"/>
  <c r="J165"/>
  <c r="K141"/>
  <c r="J139"/>
  <c r="K73"/>
  <c r="J73"/>
  <c r="J289"/>
  <c r="J292"/>
  <c r="J284"/>
  <c r="K264"/>
  <c r="J242"/>
  <c r="K230"/>
  <c r="K94"/>
  <c r="K72"/>
  <c r="J307"/>
  <c r="K161"/>
  <c r="K157"/>
  <c r="K150"/>
  <c r="K147"/>
  <c r="K134"/>
  <c r="J130"/>
  <c r="J126"/>
  <c r="J106"/>
  <c r="K100"/>
  <c r="K257"/>
  <c r="K241"/>
  <c r="K221"/>
  <c r="K203"/>
  <c r="K184"/>
  <c r="K125"/>
  <c r="K176"/>
  <c r="J174"/>
  <c r="J157"/>
  <c r="K183"/>
  <c r="K167"/>
  <c r="K154"/>
  <c r="K143"/>
  <c r="J128"/>
  <c r="J114"/>
  <c r="J96"/>
  <c r="K88"/>
  <c r="J64"/>
  <c r="J27"/>
  <c r="K26"/>
  <c r="J26"/>
  <c r="J138"/>
  <c r="K109"/>
  <c r="K101"/>
  <c r="K75"/>
  <c r="J14"/>
  <c r="K68"/>
  <c r="K53"/>
  <c r="K46"/>
  <c r="K35"/>
  <c r="K25"/>
  <c r="J112"/>
  <c r="K81"/>
  <c r="K57"/>
  <c r="K21"/>
  <c r="K76"/>
  <c r="K22"/>
  <c r="K312"/>
  <c r="J642"/>
  <c r="J576"/>
  <c r="J668"/>
  <c r="J79"/>
  <c r="K79"/>
  <c r="J278"/>
  <c r="J544"/>
  <c r="K13"/>
  <c r="K7"/>
  <c r="J8"/>
  <c r="J56"/>
  <c r="K65"/>
  <c r="J83"/>
  <c r="J95"/>
  <c r="J113"/>
  <c r="K10"/>
  <c r="J50"/>
  <c r="J32"/>
  <c r="K51"/>
  <c r="J104"/>
  <c r="K116"/>
  <c r="J133"/>
  <c r="K12"/>
  <c r="K41"/>
  <c r="J70"/>
  <c r="J99"/>
  <c r="J116"/>
  <c r="K138"/>
  <c r="J41"/>
  <c r="J80"/>
  <c r="J30"/>
  <c r="J85"/>
  <c r="K122"/>
  <c r="K146"/>
  <c r="K163"/>
  <c r="K182"/>
  <c r="K197"/>
  <c r="K205"/>
  <c r="J216"/>
  <c r="J226"/>
  <c r="K235"/>
  <c r="K243"/>
  <c r="K255"/>
  <c r="K267"/>
  <c r="K63"/>
  <c r="J135"/>
  <c r="K187"/>
  <c r="J47"/>
  <c r="K104"/>
  <c r="K169"/>
  <c r="J187"/>
  <c r="J153"/>
  <c r="K194"/>
  <c r="K202"/>
  <c r="K250"/>
  <c r="K281"/>
  <c r="K289"/>
  <c r="J304"/>
  <c r="J318"/>
  <c r="K327"/>
  <c r="K335"/>
  <c r="J346"/>
  <c r="J353"/>
  <c r="J363"/>
  <c r="K374"/>
  <c r="K382"/>
  <c r="K394"/>
  <c r="K402"/>
  <c r="K418"/>
  <c r="K107"/>
  <c r="K212"/>
  <c r="K220"/>
  <c r="K248"/>
  <c r="J273"/>
  <c r="J290"/>
  <c r="J311"/>
  <c r="J348"/>
  <c r="J366"/>
  <c r="J382"/>
  <c r="J398"/>
  <c r="K155"/>
  <c r="K297"/>
  <c r="J336"/>
  <c r="K300"/>
  <c r="K341"/>
  <c r="J354"/>
  <c r="J376"/>
  <c r="J408"/>
  <c r="K436"/>
  <c r="K444"/>
  <c r="J460"/>
  <c r="J474"/>
  <c r="J482"/>
  <c r="K499"/>
  <c r="K509"/>
  <c r="K517"/>
  <c r="K525"/>
  <c r="K535"/>
  <c r="J542"/>
  <c r="J552"/>
  <c r="J562"/>
  <c r="J570"/>
  <c r="J584"/>
  <c r="J699"/>
  <c r="K208"/>
  <c r="J245"/>
  <c r="J429"/>
  <c r="J445"/>
  <c r="J485"/>
  <c r="J253"/>
  <c r="K304"/>
  <c r="J392"/>
  <c r="J400"/>
  <c r="K419"/>
  <c r="K455"/>
  <c r="K597"/>
  <c r="K617"/>
  <c r="K631"/>
  <c r="K649"/>
  <c r="K669"/>
  <c r="K329"/>
  <c r="K474"/>
  <c r="K482"/>
  <c r="K538"/>
  <c r="K608"/>
  <c r="K616"/>
  <c r="K695"/>
  <c r="K703"/>
  <c r="K232"/>
  <c r="K466"/>
  <c r="J493"/>
  <c r="K514"/>
  <c r="K522"/>
  <c r="K532"/>
  <c r="J549"/>
  <c r="K580"/>
  <c r="J623"/>
  <c r="K675"/>
  <c r="K689"/>
  <c r="K275"/>
  <c r="J410"/>
  <c r="J497"/>
  <c r="K546"/>
  <c r="K634"/>
  <c r="K644"/>
  <c r="K652"/>
  <c r="K660"/>
  <c r="K570"/>
  <c r="K244"/>
  <c r="J601"/>
  <c r="J469"/>
  <c r="J571"/>
  <c r="K600"/>
  <c r="K596"/>
  <c r="J42"/>
  <c r="K42"/>
  <c r="K642"/>
  <c r="J185"/>
  <c r="K185"/>
  <c r="K544"/>
  <c r="J87"/>
  <c r="J622"/>
  <c r="J13"/>
  <c r="K575"/>
  <c r="J6"/>
  <c r="K19"/>
  <c r="K50"/>
  <c r="J63"/>
  <c r="J71"/>
  <c r="J93"/>
  <c r="J107"/>
  <c r="K3"/>
  <c r="K44"/>
  <c r="K70"/>
  <c r="K49"/>
  <c r="J98"/>
  <c r="K115"/>
  <c r="J129"/>
  <c r="K8"/>
  <c r="J40"/>
  <c r="K67"/>
  <c r="K84"/>
  <c r="J109"/>
  <c r="J136"/>
  <c r="K30"/>
  <c r="K74"/>
  <c r="K6"/>
  <c r="K71"/>
  <c r="K108"/>
  <c r="K145"/>
  <c r="K159"/>
  <c r="K178"/>
  <c r="J194"/>
  <c r="J202"/>
  <c r="K215"/>
  <c r="K225"/>
  <c r="J232"/>
  <c r="J240"/>
  <c r="J250"/>
  <c r="K265"/>
  <c r="J36"/>
  <c r="K103"/>
  <c r="J163"/>
  <c r="K23"/>
  <c r="K98"/>
  <c r="J151"/>
  <c r="K181"/>
  <c r="J120"/>
  <c r="J181"/>
  <c r="J199"/>
  <c r="K222"/>
  <c r="J272"/>
  <c r="K286"/>
  <c r="J300"/>
  <c r="K315"/>
  <c r="J324"/>
  <c r="J333"/>
  <c r="J344"/>
  <c r="K352"/>
  <c r="K362"/>
  <c r="J369"/>
  <c r="J379"/>
  <c r="J391"/>
  <c r="J399"/>
  <c r="J413"/>
  <c r="K428"/>
  <c r="J183"/>
  <c r="J217"/>
  <c r="J227"/>
  <c r="J269"/>
  <c r="J286"/>
  <c r="J309"/>
  <c r="K336"/>
  <c r="J362"/>
  <c r="J378"/>
  <c r="J394"/>
  <c r="J74"/>
  <c r="K210"/>
  <c r="J332"/>
  <c r="K262"/>
  <c r="K322"/>
  <c r="K353"/>
  <c r="K375"/>
  <c r="J384"/>
  <c r="K433"/>
  <c r="K441"/>
  <c r="J456"/>
  <c r="J472"/>
  <c r="K481"/>
  <c r="J492"/>
  <c r="J504"/>
  <c r="J514"/>
  <c r="J522"/>
  <c r="J532"/>
  <c r="K541"/>
  <c r="K551"/>
  <c r="K561"/>
  <c r="K569"/>
  <c r="K583"/>
  <c r="K698"/>
  <c r="J160"/>
  <c r="J241"/>
  <c r="J426"/>
  <c r="J441"/>
  <c r="J481"/>
  <c r="J184"/>
  <c r="K272"/>
  <c r="K391"/>
  <c r="K399"/>
  <c r="J416"/>
  <c r="K454"/>
  <c r="K462"/>
  <c r="K613"/>
  <c r="K629"/>
  <c r="K645"/>
  <c r="K667"/>
  <c r="K307"/>
  <c r="J459"/>
  <c r="J479"/>
  <c r="J495"/>
  <c r="J543"/>
  <c r="J613"/>
  <c r="J692"/>
  <c r="J700"/>
  <c r="J463"/>
  <c r="K492"/>
  <c r="J511"/>
  <c r="J519"/>
  <c r="J527"/>
  <c r="K548"/>
  <c r="J577"/>
  <c r="J585"/>
  <c r="J672"/>
  <c r="J680"/>
  <c r="K142"/>
  <c r="K385"/>
  <c r="K470"/>
  <c r="K504"/>
  <c r="J631"/>
  <c r="J639"/>
  <c r="J649"/>
  <c r="J657"/>
  <c r="J667"/>
  <c r="K566"/>
  <c r="J682"/>
  <c r="J597"/>
  <c r="K236"/>
  <c r="J567"/>
  <c r="K592"/>
  <c r="J312"/>
  <c r="K576"/>
  <c r="K668"/>
  <c r="K278"/>
  <c r="J43"/>
  <c r="J3"/>
  <c r="K15"/>
  <c r="J45"/>
  <c r="K61"/>
  <c r="K69"/>
  <c r="J91"/>
  <c r="J103"/>
  <c r="J119"/>
  <c r="K20"/>
  <c r="K66"/>
  <c r="J44"/>
  <c r="J76"/>
  <c r="K113"/>
  <c r="K123"/>
  <c r="J142"/>
  <c r="K24"/>
  <c r="J62"/>
  <c r="K83"/>
  <c r="J105"/>
  <c r="J123"/>
  <c r="J24"/>
  <c r="K47"/>
  <c r="J145"/>
  <c r="J57"/>
  <c r="K95"/>
  <c r="K133"/>
  <c r="K156"/>
  <c r="K174"/>
  <c r="K193"/>
  <c r="K201"/>
  <c r="J212"/>
  <c r="J220"/>
  <c r="K231"/>
  <c r="K239"/>
  <c r="J248"/>
  <c r="J262"/>
  <c r="K271"/>
  <c r="K97"/>
  <c r="J159"/>
  <c r="K16"/>
  <c r="K91"/>
  <c r="K144"/>
  <c r="K177"/>
  <c r="J11"/>
  <c r="J173"/>
  <c r="K198"/>
  <c r="J207"/>
  <c r="K260"/>
  <c r="K285"/>
  <c r="J299"/>
  <c r="J313"/>
  <c r="J322"/>
  <c r="K331"/>
  <c r="K343"/>
  <c r="J349"/>
  <c r="J357"/>
  <c r="K368"/>
  <c r="K378"/>
  <c r="K390"/>
  <c r="K398"/>
  <c r="K412"/>
  <c r="K422"/>
  <c r="J175"/>
  <c r="K216"/>
  <c r="K226"/>
  <c r="K268"/>
  <c r="J282"/>
  <c r="J305"/>
  <c r="K332"/>
  <c r="J356"/>
  <c r="J374"/>
  <c r="J390"/>
  <c r="J66"/>
  <c r="J177"/>
  <c r="J316"/>
  <c r="K256"/>
  <c r="K318"/>
  <c r="J350"/>
  <c r="J372"/>
  <c r="J380"/>
  <c r="K432"/>
  <c r="K440"/>
  <c r="J452"/>
  <c r="J466"/>
  <c r="J478"/>
  <c r="J486"/>
  <c r="K503"/>
  <c r="K513"/>
  <c r="K521"/>
  <c r="K531"/>
  <c r="J538"/>
  <c r="J548"/>
  <c r="K557"/>
  <c r="J566"/>
  <c r="J580"/>
  <c r="J695"/>
  <c r="J237"/>
  <c r="K313"/>
  <c r="J437"/>
  <c r="J477"/>
  <c r="J179"/>
  <c r="J263"/>
  <c r="J370"/>
  <c r="J396"/>
  <c r="J404"/>
  <c r="J424"/>
  <c r="K459"/>
  <c r="K609"/>
  <c r="K623"/>
  <c r="K639"/>
  <c r="K657"/>
  <c r="J171"/>
  <c r="K413"/>
  <c r="K478"/>
  <c r="K486"/>
  <c r="K542"/>
  <c r="K612"/>
  <c r="J641"/>
  <c r="K699"/>
  <c r="J360"/>
  <c r="K472"/>
  <c r="K510"/>
  <c r="K518"/>
  <c r="K526"/>
  <c r="K536"/>
  <c r="J553"/>
  <c r="K584"/>
  <c r="K671"/>
  <c r="K679"/>
  <c r="K346"/>
  <c r="J455"/>
  <c r="J501"/>
  <c r="J621"/>
  <c r="K638"/>
  <c r="K648"/>
  <c r="K656"/>
  <c r="K666"/>
  <c r="K562"/>
  <c r="J629"/>
  <c r="J593"/>
  <c r="J563"/>
  <c r="K628"/>
  <c r="J489"/>
  <c r="J575"/>
  <c r="K87"/>
  <c r="K622"/>
  <c r="K43"/>
  <c r="J7"/>
  <c r="J21"/>
  <c r="J58"/>
  <c r="J67"/>
  <c r="J89"/>
  <c r="J97"/>
  <c r="J115"/>
  <c r="J15"/>
  <c r="K62"/>
  <c r="J38"/>
  <c r="K56"/>
  <c r="J108"/>
  <c r="K119"/>
  <c r="K136"/>
  <c r="J19"/>
  <c r="J51"/>
  <c r="K80"/>
  <c r="J101"/>
  <c r="J121"/>
  <c r="J12"/>
  <c r="K45"/>
  <c r="J84"/>
  <c r="K38"/>
  <c r="J86"/>
  <c r="K129"/>
  <c r="J155"/>
  <c r="K170"/>
  <c r="K190"/>
  <c r="J198"/>
  <c r="J210"/>
  <c r="K219"/>
  <c r="K229"/>
  <c r="J236"/>
  <c r="J244"/>
  <c r="J256"/>
  <c r="J268"/>
  <c r="K89"/>
  <c r="K151"/>
  <c r="K191"/>
  <c r="J81"/>
  <c r="J137"/>
  <c r="K173"/>
  <c r="J191"/>
  <c r="K162"/>
  <c r="J195"/>
  <c r="J203"/>
  <c r="J251"/>
  <c r="K282"/>
  <c r="K290"/>
  <c r="J308"/>
  <c r="J320"/>
  <c r="J328"/>
  <c r="J340"/>
  <c r="K348"/>
  <c r="K356"/>
  <c r="K366"/>
  <c r="J375"/>
  <c r="K388"/>
  <c r="J395"/>
  <c r="J403"/>
  <c r="J419"/>
  <c r="J167"/>
  <c r="J213"/>
  <c r="J221"/>
  <c r="J259"/>
  <c r="J277"/>
  <c r="J301"/>
  <c r="K316"/>
  <c r="J352"/>
  <c r="J368"/>
  <c r="J388"/>
  <c r="J402"/>
  <c r="J169"/>
  <c r="K298"/>
  <c r="K252"/>
  <c r="K308"/>
  <c r="K349"/>
  <c r="K357"/>
  <c r="K379"/>
  <c r="K429"/>
  <c r="K437"/>
  <c r="K445"/>
  <c r="K465"/>
  <c r="K477"/>
  <c r="K485"/>
  <c r="J500"/>
  <c r="J510"/>
  <c r="J518"/>
  <c r="J526"/>
  <c r="J536"/>
  <c r="J546"/>
  <c r="K555"/>
  <c r="K565"/>
  <c r="K579"/>
  <c r="J679"/>
  <c r="J233"/>
  <c r="K303"/>
  <c r="J433"/>
  <c r="J465"/>
  <c r="J674"/>
  <c r="K93"/>
  <c r="J257"/>
  <c r="K369"/>
  <c r="K395"/>
  <c r="K403"/>
  <c r="J420"/>
  <c r="K458"/>
  <c r="K601"/>
  <c r="K621"/>
  <c r="K635"/>
  <c r="K653"/>
  <c r="K690"/>
  <c r="K409"/>
  <c r="J475"/>
  <c r="J483"/>
  <c r="J539"/>
  <c r="J609"/>
  <c r="J617"/>
  <c r="J696"/>
  <c r="K240"/>
  <c r="J467"/>
  <c r="J507"/>
  <c r="J515"/>
  <c r="J523"/>
  <c r="J533"/>
  <c r="K552"/>
  <c r="J581"/>
  <c r="J669"/>
  <c r="J676"/>
  <c r="J690"/>
  <c r="K333"/>
  <c r="J414"/>
  <c r="K500"/>
  <c r="K572"/>
  <c r="J635"/>
  <c r="J645"/>
  <c r="J653"/>
  <c r="J663"/>
  <c r="K363"/>
  <c r="J587"/>
  <c r="J298"/>
  <c r="J559"/>
  <c r="J619"/>
  <c r="K604"/>
  <c r="J65" i="1"/>
  <c r="V64"/>
  <c r="W64"/>
  <c r="V65"/>
  <c r="M67"/>
  <c r="O69"/>
  <c r="L67"/>
  <c r="O68"/>
  <c r="O66"/>
  <c r="L69" l="1"/>
  <c r="M69"/>
  <c r="O70"/>
  <c r="J67"/>
  <c r="G67"/>
  <c r="V66"/>
  <c r="W67"/>
  <c r="V67"/>
  <c r="J69" l="1"/>
  <c r="G69"/>
  <c r="D69"/>
  <c r="V68"/>
  <c r="V69"/>
  <c r="M70"/>
  <c r="L70"/>
  <c r="O71"/>
  <c r="O72"/>
  <c r="J70" l="1"/>
  <c r="V70"/>
  <c r="W70"/>
  <c r="M72"/>
  <c r="O73"/>
  <c r="L72"/>
  <c r="L73" l="1"/>
  <c r="O74"/>
  <c r="M73"/>
  <c r="J72"/>
  <c r="V72"/>
  <c r="W71"/>
  <c r="V71"/>
  <c r="L74" l="1"/>
  <c r="O75"/>
  <c r="O76"/>
  <c r="M74"/>
  <c r="J73"/>
  <c r="V73"/>
  <c r="W73"/>
  <c r="O77" l="1"/>
  <c r="M76"/>
  <c r="L76"/>
  <c r="J74"/>
  <c r="V74"/>
  <c r="W74"/>
  <c r="O78" l="1"/>
  <c r="M77"/>
  <c r="V76" s="1"/>
  <c r="L77"/>
  <c r="J76"/>
  <c r="G76"/>
  <c r="D76"/>
  <c r="V75"/>
  <c r="W75"/>
  <c r="M78" l="1"/>
  <c r="O80"/>
  <c r="L78"/>
  <c r="G77"/>
  <c r="J77"/>
  <c r="J78" l="1"/>
  <c r="W78"/>
  <c r="V78"/>
  <c r="O81"/>
  <c r="M80"/>
  <c r="L80"/>
  <c r="O79"/>
  <c r="L79" s="1"/>
  <c r="V77"/>
  <c r="A80" l="1"/>
  <c r="J80"/>
  <c r="G80"/>
  <c r="V79"/>
  <c r="W79"/>
  <c r="W80"/>
  <c r="V80"/>
  <c r="M81"/>
  <c r="L81"/>
  <c r="O82"/>
  <c r="L82" s="1"/>
  <c r="O83"/>
  <c r="M83" l="1"/>
  <c r="O85"/>
  <c r="L83"/>
  <c r="J81"/>
  <c r="V81"/>
  <c r="J83" l="1"/>
  <c r="V82"/>
  <c r="W83"/>
  <c r="V83"/>
  <c r="W82"/>
  <c r="M85"/>
  <c r="L85"/>
  <c r="O86"/>
  <c r="O84"/>
  <c r="J85" l="1"/>
  <c r="W85"/>
  <c r="V84"/>
  <c r="L86"/>
  <c r="O87"/>
  <c r="M86"/>
  <c r="L87" l="1"/>
  <c r="O88"/>
  <c r="M87"/>
  <c r="J86"/>
  <c r="G86"/>
  <c r="D86"/>
  <c r="W86"/>
  <c r="V85"/>
  <c r="L88" l="1"/>
  <c r="M88"/>
  <c r="O89"/>
  <c r="J87"/>
  <c r="W87"/>
  <c r="V87"/>
  <c r="V86"/>
  <c r="J88" l="1"/>
  <c r="V88"/>
  <c r="M89"/>
  <c r="L89"/>
  <c r="O90"/>
  <c r="O91"/>
  <c r="M91" l="1"/>
  <c r="L91"/>
  <c r="O92"/>
  <c r="J89"/>
  <c r="V89"/>
  <c r="W89"/>
  <c r="J91" l="1"/>
  <c r="V90"/>
  <c r="W90"/>
  <c r="W91"/>
  <c r="M92"/>
  <c r="L92"/>
  <c r="O93"/>
  <c r="D92" l="1"/>
  <c r="J92"/>
  <c r="G92"/>
  <c r="V92"/>
  <c r="M93"/>
  <c r="O94"/>
  <c r="L93"/>
  <c r="V91"/>
  <c r="M94" l="1"/>
  <c r="L94"/>
  <c r="O96"/>
  <c r="J93"/>
  <c r="W92"/>
  <c r="J94" l="1"/>
  <c r="W94"/>
  <c r="V94"/>
  <c r="M96"/>
  <c r="L96"/>
  <c r="O97"/>
  <c r="V93"/>
  <c r="O95"/>
  <c r="M97" l="1"/>
  <c r="V96" s="1"/>
  <c r="O98"/>
  <c r="L97"/>
  <c r="G96"/>
  <c r="A96"/>
  <c r="J96"/>
  <c r="W95"/>
  <c r="V95"/>
  <c r="K1046" i="2" l="1"/>
  <c r="K1017"/>
  <c r="J735"/>
  <c r="J1149"/>
  <c r="J1092"/>
  <c r="K989"/>
  <c r="K1159"/>
  <c r="K1022"/>
  <c r="K920"/>
  <c r="K1113"/>
  <c r="K1036"/>
  <c r="K1009"/>
  <c r="J763"/>
  <c r="J1104"/>
  <c r="J989"/>
  <c r="J955"/>
  <c r="J1065"/>
  <c r="J1093"/>
  <c r="K995"/>
  <c r="K1072"/>
  <c r="J941"/>
  <c r="K1128"/>
  <c r="J974"/>
  <c r="J818"/>
  <c r="K981"/>
  <c r="K1040"/>
  <c r="J1174"/>
  <c r="K1037"/>
  <c r="K941"/>
  <c r="K735"/>
  <c r="K1073"/>
  <c r="J1128"/>
  <c r="J999"/>
  <c r="K755"/>
  <c r="K1100"/>
  <c r="J1040"/>
  <c r="K1097"/>
  <c r="K873"/>
  <c r="J771"/>
  <c r="J739"/>
  <c r="K794"/>
  <c r="J829"/>
  <c r="J1041"/>
  <c r="K830"/>
  <c r="J965"/>
  <c r="J922"/>
  <c r="J825"/>
  <c r="K738"/>
  <c r="K876"/>
  <c r="J807"/>
  <c r="K954"/>
  <c r="J878"/>
  <c r="J717"/>
  <c r="K904"/>
  <c r="J889"/>
  <c r="K793"/>
  <c r="J743"/>
  <c r="K864"/>
  <c r="K740"/>
  <c r="K945"/>
  <c r="K819"/>
  <c r="J1137"/>
  <c r="J1000"/>
  <c r="K918"/>
  <c r="J969"/>
  <c r="K895"/>
  <c r="K815"/>
  <c r="J753"/>
  <c r="J931"/>
  <c r="J827"/>
  <c r="K936"/>
  <c r="J874"/>
  <c r="K716"/>
  <c r="J718"/>
  <c r="K935"/>
  <c r="K863"/>
  <c r="J793"/>
  <c r="K736"/>
  <c r="K796"/>
  <c r="J945"/>
  <c r="K823"/>
  <c r="J1141"/>
  <c r="J1061"/>
  <c r="K858"/>
  <c r="K961"/>
  <c r="K899"/>
  <c r="J843"/>
  <c r="K805"/>
  <c r="J751"/>
  <c r="K902"/>
  <c r="K816"/>
  <c r="J707"/>
  <c r="J854"/>
  <c r="J723"/>
  <c r="K1152"/>
  <c r="K978"/>
  <c r="K953"/>
  <c r="J863"/>
  <c r="J786"/>
  <c r="K866"/>
  <c r="K744"/>
  <c r="J910"/>
  <c r="J799"/>
  <c r="J1159"/>
  <c r="J1071"/>
  <c r="J950"/>
  <c r="K780"/>
  <c r="K933"/>
  <c r="J882"/>
  <c r="J833"/>
  <c r="K809"/>
  <c r="K724"/>
  <c r="K836"/>
  <c r="K760"/>
  <c r="J836"/>
  <c r="J727"/>
  <c r="J733"/>
  <c r="J1038"/>
  <c r="J709"/>
  <c r="J963"/>
  <c r="J740"/>
  <c r="J900"/>
  <c r="K832"/>
  <c r="J716"/>
  <c r="J856"/>
  <c r="J1044"/>
  <c r="J1146"/>
  <c r="K775"/>
  <c r="J888"/>
  <c r="J764"/>
  <c r="K990"/>
  <c r="K1069"/>
  <c r="K1147"/>
  <c r="J928"/>
  <c r="J1077"/>
  <c r="K897"/>
  <c r="J1007"/>
  <c r="J1121"/>
  <c r="J902"/>
  <c r="J1129"/>
  <c r="K1130"/>
  <c r="K1004"/>
  <c r="J1150"/>
  <c r="K1088"/>
  <c r="K861"/>
  <c r="K1052"/>
  <c r="J947"/>
  <c r="J810"/>
  <c r="K768"/>
  <c r="J832"/>
  <c r="J1010"/>
  <c r="J1120"/>
  <c r="K741"/>
  <c r="K869"/>
  <c r="K715"/>
  <c r="K913"/>
  <c r="K1051"/>
  <c r="K1125"/>
  <c r="J804"/>
  <c r="K1001"/>
  <c r="J750"/>
  <c r="J1103"/>
  <c r="K1006"/>
  <c r="K1120"/>
  <c r="J834"/>
  <c r="J1025"/>
  <c r="J1087"/>
  <c r="J911"/>
  <c r="K1102"/>
  <c r="J1144"/>
  <c r="K1122"/>
  <c r="J847"/>
  <c r="J1016"/>
  <c r="J706"/>
  <c r="J869"/>
  <c r="J967"/>
  <c r="J758"/>
  <c r="J970"/>
  <c r="K842"/>
  <c r="J748"/>
  <c r="K947"/>
  <c r="J1058"/>
  <c r="J1160"/>
  <c r="J746"/>
  <c r="J880"/>
  <c r="K751"/>
  <c r="K979"/>
  <c r="K1063"/>
  <c r="K1139"/>
  <c r="K827"/>
  <c r="J1047"/>
  <c r="K988"/>
  <c r="K729"/>
  <c r="J1011"/>
  <c r="J1125"/>
  <c r="K883"/>
  <c r="J1069"/>
  <c r="K1137"/>
  <c r="K909"/>
  <c r="K911"/>
  <c r="J1140"/>
  <c r="J1052"/>
  <c r="K871"/>
  <c r="J905"/>
  <c r="K894"/>
  <c r="J774"/>
  <c r="J734"/>
  <c r="K880"/>
  <c r="J982"/>
  <c r="J1175"/>
  <c r="K957"/>
  <c r="K994"/>
  <c r="J964"/>
  <c r="K1090"/>
  <c r="J1109"/>
  <c r="J1021"/>
  <c r="J1060"/>
  <c r="K1132"/>
  <c r="J994"/>
  <c r="J1031"/>
  <c r="K1111"/>
  <c r="J1076"/>
  <c r="K1029"/>
  <c r="K754"/>
  <c r="K912"/>
  <c r="J1152"/>
  <c r="J1106"/>
  <c r="J1014"/>
  <c r="K977"/>
  <c r="J1070"/>
  <c r="J943"/>
  <c r="K765"/>
  <c r="J1177"/>
  <c r="J1046"/>
  <c r="K1053"/>
  <c r="K916"/>
  <c r="K1107"/>
  <c r="K1015"/>
  <c r="K974"/>
  <c r="J755"/>
  <c r="K1101"/>
  <c r="K1002"/>
  <c r="J765"/>
  <c r="J1113"/>
  <c r="K1028"/>
  <c r="K1154"/>
  <c r="K980"/>
  <c r="J884"/>
  <c r="K1000"/>
  <c r="K1096"/>
  <c r="J995"/>
  <c r="K1042"/>
  <c r="K987"/>
  <c r="J754"/>
  <c r="K1005"/>
  <c r="K906"/>
  <c r="K1149"/>
  <c r="K1014"/>
  <c r="J919"/>
  <c r="K1115"/>
  <c r="K1070"/>
  <c r="J885"/>
  <c r="K889"/>
  <c r="K789"/>
  <c r="K743"/>
  <c r="K846"/>
  <c r="K710"/>
  <c r="K849"/>
  <c r="J749"/>
  <c r="J1053"/>
  <c r="K854"/>
  <c r="K969"/>
  <c r="J933"/>
  <c r="J862"/>
  <c r="K753"/>
  <c r="K898"/>
  <c r="K812"/>
  <c r="K747"/>
  <c r="K968"/>
  <c r="K725"/>
  <c r="J918"/>
  <c r="K721"/>
  <c r="J715"/>
  <c r="J728"/>
  <c r="K992"/>
  <c r="K893"/>
  <c r="J873"/>
  <c r="K752"/>
  <c r="J887"/>
  <c r="K758"/>
  <c r="J849"/>
  <c r="J1027"/>
  <c r="J946"/>
  <c r="J711"/>
  <c r="K925"/>
  <c r="K835"/>
  <c r="K759"/>
  <c r="J938"/>
  <c r="K840"/>
  <c r="K737"/>
  <c r="K948"/>
  <c r="J912"/>
  <c r="J820"/>
  <c r="K722"/>
  <c r="K730"/>
  <c r="J722"/>
  <c r="K908"/>
  <c r="J959"/>
  <c r="J877"/>
  <c r="K797"/>
  <c r="J752"/>
  <c r="J865"/>
  <c r="J741"/>
  <c r="K949"/>
  <c r="J853"/>
  <c r="J779"/>
  <c r="J1155"/>
  <c r="J1073"/>
  <c r="J981"/>
  <c r="J777"/>
  <c r="J903"/>
  <c r="K875"/>
  <c r="J815"/>
  <c r="J759"/>
  <c r="J927"/>
  <c r="K834"/>
  <c r="K771"/>
  <c r="K848"/>
  <c r="J864"/>
  <c r="K713"/>
  <c r="K732"/>
  <c r="K996"/>
  <c r="K956"/>
  <c r="K867"/>
  <c r="J797"/>
  <c r="K739"/>
  <c r="K878"/>
  <c r="J775"/>
  <c r="J949"/>
  <c r="J823"/>
  <c r="K749"/>
  <c r="J1097"/>
  <c r="J1009"/>
  <c r="J821"/>
  <c r="J961"/>
  <c r="J899"/>
  <c r="J839"/>
  <c r="J813"/>
  <c r="K750"/>
  <c r="J883"/>
  <c r="K804"/>
  <c r="K942"/>
  <c r="J868"/>
  <c r="K731"/>
  <c r="J921"/>
  <c r="K973"/>
  <c r="J1082"/>
  <c r="K950"/>
  <c r="J890"/>
  <c r="K778"/>
  <c r="J848"/>
  <c r="J1020"/>
  <c r="J1124"/>
  <c r="J742"/>
  <c r="J870"/>
  <c r="K719"/>
  <c r="J914"/>
  <c r="K1055"/>
  <c r="K1131"/>
  <c r="J808"/>
  <c r="J1029"/>
  <c r="K761"/>
  <c r="K1175"/>
  <c r="K963"/>
  <c r="J1081"/>
  <c r="J838"/>
  <c r="J1039"/>
  <c r="J1079"/>
  <c r="K1008"/>
  <c r="J1132"/>
  <c r="K1065"/>
  <c r="K847"/>
  <c r="K998"/>
  <c r="K900"/>
  <c r="J790"/>
  <c r="K746"/>
  <c r="K928"/>
  <c r="J798"/>
  <c r="J993"/>
  <c r="J1090"/>
  <c r="K845"/>
  <c r="K903"/>
  <c r="K1035"/>
  <c r="K1103"/>
  <c r="J972"/>
  <c r="K1160"/>
  <c r="K1074"/>
  <c r="K939"/>
  <c r="K1080"/>
  <c r="J1147"/>
  <c r="J1015"/>
  <c r="J1095"/>
  <c r="K709"/>
  <c r="K1141"/>
  <c r="J1126"/>
  <c r="K1056"/>
  <c r="J975"/>
  <c r="J729"/>
  <c r="J957"/>
  <c r="K707"/>
  <c r="J894"/>
  <c r="K792"/>
  <c r="J852"/>
  <c r="J1032"/>
  <c r="J1138"/>
  <c r="J730"/>
  <c r="J866"/>
  <c r="J908"/>
  <c r="K1049"/>
  <c r="K1121"/>
  <c r="J800"/>
  <c r="J983"/>
  <c r="K837"/>
  <c r="K1179"/>
  <c r="J1003"/>
  <c r="K1112"/>
  <c r="K817"/>
  <c r="K1024"/>
  <c r="J1130"/>
  <c r="K1145"/>
  <c r="J1122"/>
  <c r="J909"/>
  <c r="K1136"/>
  <c r="K1116"/>
  <c r="K806"/>
  <c r="K966"/>
  <c r="J744"/>
  <c r="J906"/>
  <c r="K838"/>
  <c r="J720"/>
  <c r="J944"/>
  <c r="J1054"/>
  <c r="J1156"/>
  <c r="K745"/>
  <c r="K879"/>
  <c r="K723"/>
  <c r="J942"/>
  <c r="K1059"/>
  <c r="K1135"/>
  <c r="J932"/>
  <c r="K1084"/>
  <c r="K1044"/>
  <c r="K927"/>
  <c r="J1143"/>
  <c r="K975"/>
  <c r="K1089"/>
  <c r="J1033"/>
  <c r="J859"/>
  <c r="K1016"/>
  <c r="J1158"/>
  <c r="K1117"/>
  <c r="J1066"/>
  <c r="J978"/>
  <c r="K1093"/>
  <c r="K991"/>
  <c r="K769"/>
  <c r="K1077"/>
  <c r="K1061"/>
  <c r="K1050"/>
  <c r="J1117"/>
  <c r="K1083"/>
  <c r="J977"/>
  <c r="K818"/>
  <c r="K1114"/>
  <c r="J1022"/>
  <c r="J769"/>
  <c r="K1174"/>
  <c r="J1036"/>
  <c r="J767"/>
  <c r="K999"/>
  <c r="K919"/>
  <c r="K1155"/>
  <c r="J1114"/>
  <c r="J1002"/>
  <c r="J1072"/>
  <c r="J1028"/>
  <c r="J828"/>
  <c r="K1013"/>
  <c r="K986"/>
  <c r="J1154"/>
  <c r="K1086"/>
  <c r="J980"/>
  <c r="J1167"/>
  <c r="J1078"/>
  <c r="K943"/>
  <c r="K1041"/>
  <c r="J953"/>
  <c r="J844"/>
  <c r="J747"/>
  <c r="K868"/>
  <c r="J745"/>
  <c r="K917"/>
  <c r="J776"/>
  <c r="J1133"/>
  <c r="J1013"/>
  <c r="J770"/>
  <c r="K937"/>
  <c r="K872"/>
  <c r="K784"/>
  <c r="K930"/>
  <c r="K826"/>
  <c r="J761"/>
  <c r="K924"/>
  <c r="J930"/>
  <c r="J850"/>
  <c r="J731"/>
  <c r="K728"/>
  <c r="J732"/>
  <c r="K1023"/>
  <c r="K959"/>
  <c r="K877"/>
  <c r="K770"/>
  <c r="K788"/>
  <c r="K853"/>
  <c r="J1057"/>
  <c r="J976"/>
  <c r="J831"/>
  <c r="J937"/>
  <c r="J872"/>
  <c r="K772"/>
  <c r="J901"/>
  <c r="K802"/>
  <c r="K964"/>
  <c r="K706"/>
  <c r="J830"/>
  <c r="J704"/>
  <c r="K1092"/>
  <c r="K971"/>
  <c r="K886"/>
  <c r="K814"/>
  <c r="K773"/>
  <c r="K874"/>
  <c r="K774"/>
  <c r="K857"/>
  <c r="K783"/>
  <c r="J1111"/>
  <c r="J996"/>
  <c r="K820"/>
  <c r="J925"/>
  <c r="K882"/>
  <c r="J835"/>
  <c r="J772"/>
  <c r="K934"/>
  <c r="J841"/>
  <c r="J803"/>
  <c r="K705"/>
  <c r="K944"/>
  <c r="J876"/>
  <c r="K726"/>
  <c r="K1019"/>
  <c r="J971"/>
  <c r="J886"/>
  <c r="J814"/>
  <c r="K757"/>
  <c r="J791"/>
  <c r="K829"/>
  <c r="K776"/>
  <c r="J1127"/>
  <c r="J1019"/>
  <c r="J851"/>
  <c r="K965"/>
  <c r="K922"/>
  <c r="K862"/>
  <c r="K824"/>
  <c r="J785"/>
  <c r="J897"/>
  <c r="J811"/>
  <c r="J705"/>
  <c r="K958"/>
  <c r="J708"/>
  <c r="J926"/>
  <c r="J816"/>
  <c r="J713"/>
  <c r="K720"/>
  <c r="J871"/>
  <c r="J1064"/>
  <c r="K938"/>
  <c r="J794"/>
  <c r="K748"/>
  <c r="K932"/>
  <c r="K821"/>
  <c r="J997"/>
  <c r="J1094"/>
  <c r="J846"/>
  <c r="J904"/>
  <c r="K1039"/>
  <c r="K1105"/>
  <c r="J979"/>
  <c r="J1161"/>
  <c r="J1075"/>
  <c r="K923"/>
  <c r="J1059"/>
  <c r="K1142"/>
  <c r="K1020"/>
  <c r="K1168"/>
  <c r="J915"/>
  <c r="J1110"/>
  <c r="J1012"/>
  <c r="K1144"/>
  <c r="K1068"/>
  <c r="J710"/>
  <c r="K890"/>
  <c r="K970"/>
  <c r="J760"/>
  <c r="K852"/>
  <c r="K777"/>
  <c r="J948"/>
  <c r="J1062"/>
  <c r="J1168"/>
  <c r="K791"/>
  <c r="K785"/>
  <c r="K1007"/>
  <c r="K1085"/>
  <c r="K1161"/>
  <c r="J940"/>
  <c r="J1105"/>
  <c r="K1034"/>
  <c r="J824"/>
  <c r="K1058"/>
  <c r="J1139"/>
  <c r="J990"/>
  <c r="K1098"/>
  <c r="J1108"/>
  <c r="J1101"/>
  <c r="J1056"/>
  <c r="J998"/>
  <c r="K1048"/>
  <c r="J1030"/>
  <c r="K1082"/>
  <c r="K946"/>
  <c r="J806"/>
  <c r="K764"/>
  <c r="K831"/>
  <c r="J1006"/>
  <c r="J1112"/>
  <c r="J796"/>
  <c r="K885"/>
  <c r="K1025"/>
  <c r="K1099"/>
  <c r="J968"/>
  <c r="J1157"/>
  <c r="J1091"/>
  <c r="K931"/>
  <c r="J1063"/>
  <c r="K1146"/>
  <c r="K997"/>
  <c r="K1151"/>
  <c r="K1079"/>
  <c r="K1064"/>
  <c r="K1133"/>
  <c r="K1148"/>
  <c r="K1118"/>
  <c r="K1030"/>
  <c r="K1164"/>
  <c r="K714"/>
  <c r="J951"/>
  <c r="J892"/>
  <c r="K782"/>
  <c r="K851"/>
  <c r="J1024"/>
  <c r="J1134"/>
  <c r="J726"/>
  <c r="K865"/>
  <c r="K907"/>
  <c r="K1045"/>
  <c r="K1109"/>
  <c r="J812"/>
  <c r="J1037"/>
  <c r="K901"/>
  <c r="K807"/>
  <c r="K1054"/>
  <c r="J1135"/>
  <c r="J954"/>
  <c r="J1169"/>
  <c r="K905"/>
  <c r="K762"/>
  <c r="K1031"/>
  <c r="K1177"/>
  <c r="J1042"/>
  <c r="J987"/>
  <c r="K766"/>
  <c r="K1162"/>
  <c r="K1129"/>
  <c r="J1086"/>
  <c r="J984"/>
  <c r="J1100"/>
  <c r="J1018"/>
  <c r="J920"/>
  <c r="J1089"/>
  <c r="J1017"/>
  <c r="K976"/>
  <c r="J1162"/>
  <c r="K1087"/>
  <c r="K985"/>
  <c r="K884"/>
  <c r="J913"/>
  <c r="K1026"/>
  <c r="J991"/>
  <c r="K1047"/>
  <c r="K828"/>
  <c r="J1083"/>
  <c r="K955"/>
  <c r="K1163"/>
  <c r="K1167"/>
  <c r="J1026"/>
  <c r="K1076"/>
  <c r="K1033"/>
  <c r="K859"/>
  <c r="K1057"/>
  <c r="K1043"/>
  <c r="K1158"/>
  <c r="K1106"/>
  <c r="K984"/>
  <c r="J907"/>
  <c r="J1096"/>
  <c r="K1018"/>
  <c r="K1071"/>
  <c r="J956"/>
  <c r="J867"/>
  <c r="J757"/>
  <c r="J879"/>
  <c r="J787"/>
  <c r="K798"/>
  <c r="J1163"/>
  <c r="J1023"/>
  <c r="J781"/>
  <c r="K952"/>
  <c r="K891"/>
  <c r="J809"/>
  <c r="J724"/>
  <c r="J962"/>
  <c r="J837"/>
  <c r="K800"/>
  <c r="K940"/>
  <c r="J858"/>
  <c r="K704"/>
  <c r="K1066"/>
  <c r="J881"/>
  <c r="J789"/>
  <c r="J737"/>
  <c r="J795"/>
  <c r="J917"/>
  <c r="K779"/>
  <c r="J1119"/>
  <c r="J992"/>
  <c r="J855"/>
  <c r="J952"/>
  <c r="J891"/>
  <c r="K801"/>
  <c r="J738"/>
  <c r="K926"/>
  <c r="K808"/>
  <c r="K870"/>
  <c r="J725"/>
  <c r="J840"/>
  <c r="J721"/>
  <c r="K1104"/>
  <c r="J893"/>
  <c r="K860"/>
  <c r="K786"/>
  <c r="K888"/>
  <c r="K790"/>
  <c r="K910"/>
  <c r="J819"/>
  <c r="J1123"/>
  <c r="J1005"/>
  <c r="K850"/>
  <c r="K929"/>
  <c r="J895"/>
  <c r="K839"/>
  <c r="J801"/>
  <c r="J966"/>
  <c r="K881"/>
  <c r="K810"/>
  <c r="K712"/>
  <c r="K960"/>
  <c r="K708"/>
  <c r="J916"/>
  <c r="K727"/>
  <c r="K718"/>
  <c r="K1027"/>
  <c r="J935"/>
  <c r="K844"/>
  <c r="J773"/>
  <c r="J845"/>
  <c r="J857"/>
  <c r="J783"/>
  <c r="J1145"/>
  <c r="J1043"/>
  <c r="J860"/>
  <c r="J736"/>
  <c r="J929"/>
  <c r="J875"/>
  <c r="K825"/>
  <c r="J805"/>
  <c r="J923"/>
  <c r="J817"/>
  <c r="J712"/>
  <c r="K972"/>
  <c r="J934"/>
  <c r="J826"/>
  <c r="K717"/>
  <c r="J719"/>
  <c r="J1068"/>
  <c r="J1008"/>
  <c r="J714"/>
  <c r="K892"/>
  <c r="J766"/>
  <c r="K711"/>
  <c r="K856"/>
  <c r="J778"/>
  <c r="K951"/>
  <c r="J1074"/>
  <c r="J792"/>
  <c r="K813"/>
  <c r="K1011"/>
  <c r="K1091"/>
  <c r="K1169"/>
  <c r="J960"/>
  <c r="J1153"/>
  <c r="J1035"/>
  <c r="K803"/>
  <c r="J1051"/>
  <c r="K1134"/>
  <c r="K993"/>
  <c r="J1099"/>
  <c r="J762"/>
  <c r="K1060"/>
  <c r="J1148"/>
  <c r="K1126"/>
  <c r="K1038"/>
  <c r="J1048"/>
  <c r="J1116"/>
  <c r="K962"/>
  <c r="K734"/>
  <c r="J896"/>
  <c r="K822"/>
  <c r="K855"/>
  <c r="J1034"/>
  <c r="J1142"/>
  <c r="J756"/>
  <c r="K887"/>
  <c r="K763"/>
  <c r="K983"/>
  <c r="K1067"/>
  <c r="K1143"/>
  <c r="J924"/>
  <c r="J1067"/>
  <c r="K841"/>
  <c r="K799"/>
  <c r="K1032"/>
  <c r="J1131"/>
  <c r="J898"/>
  <c r="J1107"/>
  <c r="J1151"/>
  <c r="J1004"/>
  <c r="K915"/>
  <c r="K1123"/>
  <c r="K1140"/>
  <c r="J861"/>
  <c r="J1088"/>
  <c r="K896"/>
  <c r="J780"/>
  <c r="K742"/>
  <c r="K914"/>
  <c r="J782"/>
  <c r="J988"/>
  <c r="J1084"/>
  <c r="J1179"/>
  <c r="J788"/>
  <c r="J958"/>
  <c r="J768"/>
  <c r="K1003"/>
  <c r="K1081"/>
  <c r="K1157"/>
  <c r="J936"/>
  <c r="J1085"/>
  <c r="J1045"/>
  <c r="K811"/>
  <c r="J1055"/>
  <c r="K1138"/>
  <c r="J985"/>
  <c r="K1094"/>
  <c r="J1115"/>
  <c r="J986"/>
  <c r="J1050"/>
  <c r="J1164"/>
  <c r="K1119"/>
  <c r="K921"/>
  <c r="J973"/>
  <c r="K1012"/>
  <c r="J939"/>
  <c r="J802"/>
  <c r="K756"/>
  <c r="J822"/>
  <c r="J1001"/>
  <c r="J1098"/>
  <c r="K795"/>
  <c r="K843"/>
  <c r="K1021"/>
  <c r="K1095"/>
  <c r="K733"/>
  <c r="K982"/>
  <c r="K833"/>
  <c r="K1010"/>
  <c r="K1124"/>
  <c r="J842"/>
  <c r="J1049"/>
  <c r="K1127"/>
  <c r="J1102"/>
  <c r="J1136"/>
  <c r="K1150"/>
  <c r="K781"/>
  <c r="J1080"/>
  <c r="K787"/>
  <c r="K767"/>
  <c r="K1075"/>
  <c r="K1153"/>
  <c r="K1156"/>
  <c r="K967"/>
  <c r="J784"/>
  <c r="K1108"/>
  <c r="J1118"/>
  <c r="K1062"/>
  <c r="K1078"/>
  <c r="K1110"/>
  <c r="M98" i="1"/>
  <c r="L98"/>
  <c r="O99"/>
  <c r="W96"/>
  <c r="J97"/>
  <c r="G98" l="1"/>
  <c r="D98"/>
  <c r="J98"/>
  <c r="R3" i="2"/>
  <c r="V3" s="1"/>
  <c r="S6"/>
  <c r="R7"/>
  <c r="V7" s="1"/>
  <c r="R15"/>
  <c r="V15" s="1"/>
  <c r="R19"/>
  <c r="V19" s="1"/>
  <c r="U6"/>
  <c r="T8"/>
  <c r="U10"/>
  <c r="S15"/>
  <c r="S19"/>
  <c r="R24"/>
  <c r="V24" s="1"/>
  <c r="R38"/>
  <c r="V38" s="1"/>
  <c r="R44"/>
  <c r="V44" s="1"/>
  <c r="R50"/>
  <c r="V50" s="1"/>
  <c r="R56"/>
  <c r="V56" s="1"/>
  <c r="R62"/>
  <c r="V62" s="1"/>
  <c r="R66"/>
  <c r="V66" s="1"/>
  <c r="R70"/>
  <c r="V70" s="1"/>
  <c r="R4"/>
  <c r="V4" s="1"/>
  <c r="T6"/>
  <c r="U7"/>
  <c r="S8"/>
  <c r="T10"/>
  <c r="T16"/>
  <c r="U18"/>
  <c r="T20"/>
  <c r="S22"/>
  <c r="R23"/>
  <c r="V23" s="1"/>
  <c r="S3"/>
  <c r="R6"/>
  <c r="V6" s="1"/>
  <c r="R12"/>
  <c r="V12" s="1"/>
  <c r="S16"/>
  <c r="T19"/>
  <c r="T24"/>
  <c r="T30"/>
  <c r="U32"/>
  <c r="U36"/>
  <c r="T38"/>
  <c r="U40"/>
  <c r="S44"/>
  <c r="T47"/>
  <c r="U49"/>
  <c r="T51"/>
  <c r="U56"/>
  <c r="S62"/>
  <c r="S66"/>
  <c r="S70"/>
  <c r="T74"/>
  <c r="U76"/>
  <c r="R80"/>
  <c r="V80" s="1"/>
  <c r="S83"/>
  <c r="R84"/>
  <c r="V84" s="1"/>
  <c r="S89"/>
  <c r="S91"/>
  <c r="S93"/>
  <c r="S95"/>
  <c r="S97"/>
  <c r="R98"/>
  <c r="V98" s="1"/>
  <c r="S103"/>
  <c r="R104"/>
  <c r="V104" s="1"/>
  <c r="S107"/>
  <c r="R108"/>
  <c r="V108" s="1"/>
  <c r="S113"/>
  <c r="S115"/>
  <c r="R116"/>
  <c r="V116" s="1"/>
  <c r="R8"/>
  <c r="V8" s="1"/>
  <c r="U15"/>
  <c r="R16"/>
  <c r="V16" s="1"/>
  <c r="T18"/>
  <c r="U21"/>
  <c r="S24"/>
  <c r="S38"/>
  <c r="T45"/>
  <c r="U50"/>
  <c r="T56"/>
  <c r="U58"/>
  <c r="U61"/>
  <c r="T63"/>
  <c r="U65"/>
  <c r="T67"/>
  <c r="U69"/>
  <c r="T71"/>
  <c r="R83"/>
  <c r="V83" s="1"/>
  <c r="R89"/>
  <c r="V89" s="1"/>
  <c r="R91"/>
  <c r="V91" s="1"/>
  <c r="R93"/>
  <c r="V93" s="1"/>
  <c r="R95"/>
  <c r="V95" s="1"/>
  <c r="R97"/>
  <c r="V97" s="1"/>
  <c r="R103"/>
  <c r="V103" s="1"/>
  <c r="R107"/>
  <c r="V107" s="1"/>
  <c r="R113"/>
  <c r="V113" s="1"/>
  <c r="R115"/>
  <c r="V115" s="1"/>
  <c r="R119"/>
  <c r="V119" s="1"/>
  <c r="R123"/>
  <c r="V123" s="1"/>
  <c r="R129"/>
  <c r="V129" s="1"/>
  <c r="R133"/>
  <c r="V133" s="1"/>
  <c r="R145"/>
  <c r="V145" s="1"/>
  <c r="R151"/>
  <c r="V151" s="1"/>
  <c r="R155"/>
  <c r="V155" s="1"/>
  <c r="R159"/>
  <c r="V159" s="1"/>
  <c r="R163"/>
  <c r="V163" s="1"/>
  <c r="R169"/>
  <c r="V169" s="1"/>
  <c r="R173"/>
  <c r="V173" s="1"/>
  <c r="R177"/>
  <c r="V177" s="1"/>
  <c r="R181"/>
  <c r="V181" s="1"/>
  <c r="R187"/>
  <c r="V187" s="1"/>
  <c r="T3"/>
  <c r="S7"/>
  <c r="S20"/>
  <c r="U23"/>
  <c r="U34"/>
  <c r="R36"/>
  <c r="V36" s="1"/>
  <c r="U38"/>
  <c r="U44"/>
  <c r="R45"/>
  <c r="V45" s="1"/>
  <c r="R47"/>
  <c r="V47" s="1"/>
  <c r="S50"/>
  <c r="U52"/>
  <c r="T57"/>
  <c r="R61"/>
  <c r="V61" s="1"/>
  <c r="S63"/>
  <c r="T66"/>
  <c r="R69"/>
  <c r="V69" s="1"/>
  <c r="S71"/>
  <c r="R81"/>
  <c r="V81" s="1"/>
  <c r="U83"/>
  <c r="R85"/>
  <c r="V85" s="1"/>
  <c r="S98"/>
  <c r="S104"/>
  <c r="S108"/>
  <c r="R112"/>
  <c r="V112" s="1"/>
  <c r="T113"/>
  <c r="T115"/>
  <c r="T116"/>
  <c r="R118"/>
  <c r="V118" s="1"/>
  <c r="T120"/>
  <c r="R121"/>
  <c r="V121" s="1"/>
  <c r="U122"/>
  <c r="U129"/>
  <c r="U133"/>
  <c r="T135"/>
  <c r="R136"/>
  <c r="V136" s="1"/>
  <c r="U137"/>
  <c r="R138"/>
  <c r="V138" s="1"/>
  <c r="T15"/>
  <c r="R20"/>
  <c r="V20" s="1"/>
  <c r="U22"/>
  <c r="T23"/>
  <c r="T25"/>
  <c r="R31"/>
  <c r="V31" s="1"/>
  <c r="R32"/>
  <c r="V32" s="1"/>
  <c r="S34"/>
  <c r="T35"/>
  <c r="T44"/>
  <c r="T46"/>
  <c r="R49"/>
  <c r="V49" s="1"/>
  <c r="S52"/>
  <c r="T53"/>
  <c r="S56"/>
  <c r="U59"/>
  <c r="U60"/>
  <c r="U62"/>
  <c r="R63"/>
  <c r="V63" s="1"/>
  <c r="T65"/>
  <c r="U68"/>
  <c r="U70"/>
  <c r="R71"/>
  <c r="V71" s="1"/>
  <c r="R76"/>
  <c r="V76" s="1"/>
  <c r="T80"/>
  <c r="R82"/>
  <c r="V82" s="1"/>
  <c r="T83"/>
  <c r="T84"/>
  <c r="S99"/>
  <c r="S101"/>
  <c r="S105"/>
  <c r="S109"/>
  <c r="S116"/>
  <c r="U119"/>
  <c r="S120"/>
  <c r="T122"/>
  <c r="U123"/>
  <c r="T129"/>
  <c r="U131"/>
  <c r="T133"/>
  <c r="T142"/>
  <c r="U144"/>
  <c r="R10"/>
  <c r="V10" s="1"/>
  <c r="R22"/>
  <c r="V22" s="1"/>
  <c r="U24"/>
  <c r="U37"/>
  <c r="R40"/>
  <c r="V40" s="1"/>
  <c r="U48"/>
  <c r="R51"/>
  <c r="V51" s="1"/>
  <c r="S58"/>
  <c r="T62"/>
  <c r="R65"/>
  <c r="V65" s="1"/>
  <c r="S67"/>
  <c r="T70"/>
  <c r="T75"/>
  <c r="S80"/>
  <c r="S84"/>
  <c r="U89"/>
  <c r="U91"/>
  <c r="U93"/>
  <c r="U95"/>
  <c r="U97"/>
  <c r="R99"/>
  <c r="V99" s="1"/>
  <c r="R101"/>
  <c r="V101" s="1"/>
  <c r="U103"/>
  <c r="R105"/>
  <c r="V105" s="1"/>
  <c r="U107"/>
  <c r="R109"/>
  <c r="V109" s="1"/>
  <c r="T119"/>
  <c r="U121"/>
  <c r="T123"/>
  <c r="S129"/>
  <c r="S133"/>
  <c r="T136"/>
  <c r="U138"/>
  <c r="U145"/>
  <c r="S151"/>
  <c r="S155"/>
  <c r="U17"/>
  <c r="U19"/>
  <c r="T54"/>
  <c r="U55"/>
  <c r="R67"/>
  <c r="V67" s="1"/>
  <c r="T69"/>
  <c r="S75"/>
  <c r="U77"/>
  <c r="T89"/>
  <c r="R90"/>
  <c r="V90" s="1"/>
  <c r="T97"/>
  <c r="T103"/>
  <c r="R111"/>
  <c r="V111" s="1"/>
  <c r="U118"/>
  <c r="T130"/>
  <c r="T134"/>
  <c r="S136"/>
  <c r="U143"/>
  <c r="S145"/>
  <c r="T146"/>
  <c r="U147"/>
  <c r="U149"/>
  <c r="U150"/>
  <c r="U151"/>
  <c r="R154"/>
  <c r="V154" s="1"/>
  <c r="S156"/>
  <c r="U157"/>
  <c r="U158"/>
  <c r="T160"/>
  <c r="R161"/>
  <c r="V161" s="1"/>
  <c r="U162"/>
  <c r="U167"/>
  <c r="R168"/>
  <c r="V168" s="1"/>
  <c r="T169"/>
  <c r="R170"/>
  <c r="V170" s="1"/>
  <c r="U171"/>
  <c r="R172"/>
  <c r="V172" s="1"/>
  <c r="T173"/>
  <c r="R174"/>
  <c r="V174" s="1"/>
  <c r="U175"/>
  <c r="R176"/>
  <c r="V176" s="1"/>
  <c r="T177"/>
  <c r="R178"/>
  <c r="V178" s="1"/>
  <c r="U179"/>
  <c r="R180"/>
  <c r="V180" s="1"/>
  <c r="T181"/>
  <c r="R182"/>
  <c r="V182" s="1"/>
  <c r="U183"/>
  <c r="T184"/>
  <c r="S187"/>
  <c r="R191"/>
  <c r="V191" s="1"/>
  <c r="T193"/>
  <c r="S194"/>
  <c r="R195"/>
  <c r="V195" s="1"/>
  <c r="T197"/>
  <c r="S198"/>
  <c r="R199"/>
  <c r="V199" s="1"/>
  <c r="T201"/>
  <c r="S202"/>
  <c r="R203"/>
  <c r="V203" s="1"/>
  <c r="T205"/>
  <c r="R207"/>
  <c r="V207" s="1"/>
  <c r="S210"/>
  <c r="S212"/>
  <c r="R213"/>
  <c r="V213" s="1"/>
  <c r="T215"/>
  <c r="S216"/>
  <c r="R217"/>
  <c r="V217" s="1"/>
  <c r="T219"/>
  <c r="S220"/>
  <c r="R221"/>
  <c r="V221" s="1"/>
  <c r="T225"/>
  <c r="S226"/>
  <c r="R227"/>
  <c r="V227" s="1"/>
  <c r="T229"/>
  <c r="T231"/>
  <c r="S232"/>
  <c r="R233"/>
  <c r="V233" s="1"/>
  <c r="T235"/>
  <c r="S236"/>
  <c r="R237"/>
  <c r="V237" s="1"/>
  <c r="T239"/>
  <c r="S240"/>
  <c r="R241"/>
  <c r="V241" s="1"/>
  <c r="T243"/>
  <c r="S244"/>
  <c r="R245"/>
  <c r="V245" s="1"/>
  <c r="S248"/>
  <c r="S250"/>
  <c r="R251"/>
  <c r="V251" s="1"/>
  <c r="R253"/>
  <c r="V253" s="1"/>
  <c r="T255"/>
  <c r="S256"/>
  <c r="R257"/>
  <c r="V257" s="1"/>
  <c r="R259"/>
  <c r="V259" s="1"/>
  <c r="S262"/>
  <c r="R263"/>
  <c r="V263" s="1"/>
  <c r="T265"/>
  <c r="T267"/>
  <c r="S268"/>
  <c r="R269"/>
  <c r="V269" s="1"/>
  <c r="R41"/>
  <c r="V41" s="1"/>
  <c r="R58"/>
  <c r="V58" s="1"/>
  <c r="T61"/>
  <c r="S81"/>
  <c r="T91"/>
  <c r="T98"/>
  <c r="T104"/>
  <c r="U112"/>
  <c r="S119"/>
  <c r="R131"/>
  <c r="V131" s="1"/>
  <c r="T138"/>
  <c r="T151"/>
  <c r="R156"/>
  <c r="V156" s="1"/>
  <c r="U159"/>
  <c r="U163"/>
  <c r="S169"/>
  <c r="S173"/>
  <c r="S177"/>
  <c r="S181"/>
  <c r="U190"/>
  <c r="U191"/>
  <c r="R194"/>
  <c r="V194" s="1"/>
  <c r="R198"/>
  <c r="V198" s="1"/>
  <c r="R202"/>
  <c r="V202" s="1"/>
  <c r="R210"/>
  <c r="V210" s="1"/>
  <c r="R212"/>
  <c r="V212" s="1"/>
  <c r="R216"/>
  <c r="V216" s="1"/>
  <c r="R220"/>
  <c r="V220" s="1"/>
  <c r="R226"/>
  <c r="V226" s="1"/>
  <c r="R232"/>
  <c r="V232" s="1"/>
  <c r="R236"/>
  <c r="V236" s="1"/>
  <c r="R240"/>
  <c r="V240" s="1"/>
  <c r="R244"/>
  <c r="V244" s="1"/>
  <c r="R248"/>
  <c r="V248" s="1"/>
  <c r="R250"/>
  <c r="V250" s="1"/>
  <c r="R256"/>
  <c r="V256" s="1"/>
  <c r="R262"/>
  <c r="V262" s="1"/>
  <c r="R268"/>
  <c r="V268" s="1"/>
  <c r="R272"/>
  <c r="V272" s="1"/>
  <c r="R282"/>
  <c r="V282" s="1"/>
  <c r="R286"/>
  <c r="V286" s="1"/>
  <c r="R290"/>
  <c r="V290" s="1"/>
  <c r="R298"/>
  <c r="V298" s="1"/>
  <c r="R304"/>
  <c r="V304" s="1"/>
  <c r="R308"/>
  <c r="V308" s="1"/>
  <c r="R316"/>
  <c r="V316" s="1"/>
  <c r="R318"/>
  <c r="V318" s="1"/>
  <c r="R322"/>
  <c r="V322" s="1"/>
  <c r="R332"/>
  <c r="V332" s="1"/>
  <c r="R336"/>
  <c r="V336" s="1"/>
  <c r="R346"/>
  <c r="V346" s="1"/>
  <c r="T7"/>
  <c r="R18"/>
  <c r="V18" s="1"/>
  <c r="T37"/>
  <c r="U66"/>
  <c r="U74"/>
  <c r="T93"/>
  <c r="T107"/>
  <c r="U113"/>
  <c r="S121"/>
  <c r="R142"/>
  <c r="V142" s="1"/>
  <c r="R147"/>
  <c r="V147" s="1"/>
  <c r="R150"/>
  <c r="V150" s="1"/>
  <c r="U155"/>
  <c r="R158"/>
  <c r="V158" s="1"/>
  <c r="T159"/>
  <c r="U161"/>
  <c r="T163"/>
  <c r="U168"/>
  <c r="T170"/>
  <c r="U172"/>
  <c r="T174"/>
  <c r="U176"/>
  <c r="T178"/>
  <c r="U180"/>
  <c r="T182"/>
  <c r="U187"/>
  <c r="T190"/>
  <c r="T191"/>
  <c r="R193"/>
  <c r="V193" s="1"/>
  <c r="U194"/>
  <c r="R197"/>
  <c r="V197" s="1"/>
  <c r="U198"/>
  <c r="R201"/>
  <c r="V201" s="1"/>
  <c r="U202"/>
  <c r="R205"/>
  <c r="V205" s="1"/>
  <c r="U210"/>
  <c r="U212"/>
  <c r="R215"/>
  <c r="V215" s="1"/>
  <c r="U216"/>
  <c r="R219"/>
  <c r="V219" s="1"/>
  <c r="U220"/>
  <c r="R225"/>
  <c r="V225" s="1"/>
  <c r="U226"/>
  <c r="R229"/>
  <c r="V229" s="1"/>
  <c r="R231"/>
  <c r="V231" s="1"/>
  <c r="U232"/>
  <c r="R235"/>
  <c r="V235" s="1"/>
  <c r="U236"/>
  <c r="R239"/>
  <c r="V239" s="1"/>
  <c r="U240"/>
  <c r="R243"/>
  <c r="V243" s="1"/>
  <c r="U244"/>
  <c r="U248"/>
  <c r="U250"/>
  <c r="R255"/>
  <c r="V255" s="1"/>
  <c r="U256"/>
  <c r="U262"/>
  <c r="R265"/>
  <c r="V265" s="1"/>
  <c r="R267"/>
  <c r="V267" s="1"/>
  <c r="U268"/>
  <c r="R271"/>
  <c r="V271" s="1"/>
  <c r="U272"/>
  <c r="R275"/>
  <c r="V275" s="1"/>
  <c r="R281"/>
  <c r="V281" s="1"/>
  <c r="U282"/>
  <c r="R285"/>
  <c r="V285" s="1"/>
  <c r="U286"/>
  <c r="R289"/>
  <c r="V289" s="1"/>
  <c r="U290"/>
  <c r="R297"/>
  <c r="V297" s="1"/>
  <c r="U298"/>
  <c r="R303"/>
  <c r="V303" s="1"/>
  <c r="U304"/>
  <c r="R307"/>
  <c r="V307" s="1"/>
  <c r="U308"/>
  <c r="T26"/>
  <c r="U27"/>
  <c r="U28"/>
  <c r="T29"/>
  <c r="S48"/>
  <c r="S86"/>
  <c r="R102"/>
  <c r="V102" s="1"/>
  <c r="R117"/>
  <c r="V117" s="1"/>
  <c r="S125"/>
  <c r="T145"/>
  <c r="T154"/>
  <c r="T168"/>
  <c r="U169"/>
  <c r="T176"/>
  <c r="U177"/>
  <c r="U189"/>
  <c r="T210"/>
  <c r="R214"/>
  <c r="V214" s="1"/>
  <c r="R218"/>
  <c r="V218" s="1"/>
  <c r="R224"/>
  <c r="V224" s="1"/>
  <c r="R228"/>
  <c r="V228" s="1"/>
  <c r="R266"/>
  <c r="V266" s="1"/>
  <c r="R270"/>
  <c r="V270" s="1"/>
  <c r="S272"/>
  <c r="R280"/>
  <c r="V280" s="1"/>
  <c r="T281"/>
  <c r="T282"/>
  <c r="R284"/>
  <c r="V284" s="1"/>
  <c r="T285"/>
  <c r="T286"/>
  <c r="R288"/>
  <c r="V288" s="1"/>
  <c r="T289"/>
  <c r="T290"/>
  <c r="R292"/>
  <c r="V292" s="1"/>
  <c r="S299"/>
  <c r="S300"/>
  <c r="S304"/>
  <c r="S308"/>
  <c r="S316"/>
  <c r="U318"/>
  <c r="U322"/>
  <c r="S332"/>
  <c r="S336"/>
  <c r="U346"/>
  <c r="T348"/>
  <c r="S349"/>
  <c r="R350"/>
  <c r="V350" s="1"/>
  <c r="T352"/>
  <c r="S353"/>
  <c r="R354"/>
  <c r="V354" s="1"/>
  <c r="T356"/>
  <c r="S357"/>
  <c r="R360"/>
  <c r="V360" s="1"/>
  <c r="T362"/>
  <c r="S363"/>
  <c r="T366"/>
  <c r="T368"/>
  <c r="S369"/>
  <c r="R370"/>
  <c r="V370" s="1"/>
  <c r="R372"/>
  <c r="V372" s="1"/>
  <c r="T374"/>
  <c r="S375"/>
  <c r="R376"/>
  <c r="V376" s="1"/>
  <c r="T378"/>
  <c r="S379"/>
  <c r="R380"/>
  <c r="V380" s="1"/>
  <c r="T382"/>
  <c r="R384"/>
  <c r="V384" s="1"/>
  <c r="T388"/>
  <c r="T390"/>
  <c r="S391"/>
  <c r="R392"/>
  <c r="V392" s="1"/>
  <c r="T394"/>
  <c r="S395"/>
  <c r="R396"/>
  <c r="V396" s="1"/>
  <c r="T398"/>
  <c r="S399"/>
  <c r="R400"/>
  <c r="V400" s="1"/>
  <c r="T402"/>
  <c r="S403"/>
  <c r="R404"/>
  <c r="V404" s="1"/>
  <c r="R408"/>
  <c r="V408" s="1"/>
  <c r="R410"/>
  <c r="V410" s="1"/>
  <c r="T412"/>
  <c r="S413"/>
  <c r="R414"/>
  <c r="V414" s="1"/>
  <c r="R416"/>
  <c r="V416" s="1"/>
  <c r="T418"/>
  <c r="S419"/>
  <c r="R420"/>
  <c r="V420" s="1"/>
  <c r="T422"/>
  <c r="R424"/>
  <c r="V424" s="1"/>
  <c r="R426"/>
  <c r="V426" s="1"/>
  <c r="T428"/>
  <c r="U30"/>
  <c r="S45"/>
  <c r="T50"/>
  <c r="U64"/>
  <c r="R88"/>
  <c r="V88" s="1"/>
  <c r="S126"/>
  <c r="T155"/>
  <c r="S159"/>
  <c r="S170"/>
  <c r="S178"/>
  <c r="R190"/>
  <c r="V190" s="1"/>
  <c r="U231"/>
  <c r="T232"/>
  <c r="S233"/>
  <c r="U235"/>
  <c r="T236"/>
  <c r="S237"/>
  <c r="U239"/>
  <c r="T240"/>
  <c r="S241"/>
  <c r="U243"/>
  <c r="T244"/>
  <c r="S245"/>
  <c r="S253"/>
  <c r="U255"/>
  <c r="T256"/>
  <c r="S257"/>
  <c r="T262"/>
  <c r="S263"/>
  <c r="U265"/>
  <c r="S273"/>
  <c r="S277"/>
  <c r="S282"/>
  <c r="S286"/>
  <c r="S290"/>
  <c r="U297"/>
  <c r="R299"/>
  <c r="V299" s="1"/>
  <c r="S301"/>
  <c r="S305"/>
  <c r="S309"/>
  <c r="S311"/>
  <c r="T313"/>
  <c r="U315"/>
  <c r="T318"/>
  <c r="U320"/>
  <c r="T322"/>
  <c r="U324"/>
  <c r="U327"/>
  <c r="U328"/>
  <c r="U331"/>
  <c r="T333"/>
  <c r="U335"/>
  <c r="U340"/>
  <c r="U343"/>
  <c r="U344"/>
  <c r="T346"/>
  <c r="S348"/>
  <c r="R349"/>
  <c r="V349" s="1"/>
  <c r="S352"/>
  <c r="R353"/>
  <c r="V353" s="1"/>
  <c r="S356"/>
  <c r="R357"/>
  <c r="V357" s="1"/>
  <c r="S362"/>
  <c r="R363"/>
  <c r="V363" s="1"/>
  <c r="S366"/>
  <c r="S368"/>
  <c r="R369"/>
  <c r="V369" s="1"/>
  <c r="S374"/>
  <c r="R375"/>
  <c r="V375" s="1"/>
  <c r="S378"/>
  <c r="R379"/>
  <c r="V379" s="1"/>
  <c r="S382"/>
  <c r="S388"/>
  <c r="S390"/>
  <c r="R391"/>
  <c r="V391" s="1"/>
  <c r="S394"/>
  <c r="R395"/>
  <c r="V395" s="1"/>
  <c r="S398"/>
  <c r="R399"/>
  <c r="V399" s="1"/>
  <c r="S402"/>
  <c r="R403"/>
  <c r="V403" s="1"/>
  <c r="S412"/>
  <c r="R413"/>
  <c r="V413" s="1"/>
  <c r="R419"/>
  <c r="V419" s="1"/>
  <c r="S422"/>
  <c r="R429"/>
  <c r="V429" s="1"/>
  <c r="S432"/>
  <c r="R433"/>
  <c r="V433" s="1"/>
  <c r="S436"/>
  <c r="R437"/>
  <c r="V437" s="1"/>
  <c r="R441"/>
  <c r="V441" s="1"/>
  <c r="R445"/>
  <c r="V445" s="1"/>
  <c r="S454"/>
  <c r="R455"/>
  <c r="V455" s="1"/>
  <c r="R459"/>
  <c r="V459" s="1"/>
  <c r="T95"/>
  <c r="R96"/>
  <c r="V96" s="1"/>
  <c r="S123"/>
  <c r="T127"/>
  <c r="U135"/>
  <c r="T156"/>
  <c r="S161"/>
  <c r="T172"/>
  <c r="U173"/>
  <c r="T180"/>
  <c r="U181"/>
  <c r="T187"/>
  <c r="S191"/>
  <c r="U193"/>
  <c r="T194"/>
  <c r="S195"/>
  <c r="U197"/>
  <c r="T198"/>
  <c r="S199"/>
  <c r="U201"/>
  <c r="T202"/>
  <c r="S203"/>
  <c r="U205"/>
  <c r="S207"/>
  <c r="T250"/>
  <c r="S251"/>
  <c r="U271"/>
  <c r="R273"/>
  <c r="V273" s="1"/>
  <c r="U275"/>
  <c r="R277"/>
  <c r="V277" s="1"/>
  <c r="T297"/>
  <c r="T298"/>
  <c r="R301"/>
  <c r="V301" s="1"/>
  <c r="U303"/>
  <c r="R305"/>
  <c r="V305" s="1"/>
  <c r="U307"/>
  <c r="R309"/>
  <c r="V309" s="1"/>
  <c r="R311"/>
  <c r="V311" s="1"/>
  <c r="U316"/>
  <c r="S318"/>
  <c r="S322"/>
  <c r="U332"/>
  <c r="U336"/>
  <c r="S346"/>
  <c r="R348"/>
  <c r="V348" s="1"/>
  <c r="R352"/>
  <c r="V352" s="1"/>
  <c r="R356"/>
  <c r="V356" s="1"/>
  <c r="R362"/>
  <c r="V362" s="1"/>
  <c r="R366"/>
  <c r="V366" s="1"/>
  <c r="R368"/>
  <c r="V368" s="1"/>
  <c r="R374"/>
  <c r="V374" s="1"/>
  <c r="R378"/>
  <c r="V378" s="1"/>
  <c r="R382"/>
  <c r="V382" s="1"/>
  <c r="R388"/>
  <c r="V388" s="1"/>
  <c r="R390"/>
  <c r="V390" s="1"/>
  <c r="R394"/>
  <c r="V394" s="1"/>
  <c r="R398"/>
  <c r="V398" s="1"/>
  <c r="R402"/>
  <c r="V402" s="1"/>
  <c r="U403"/>
  <c r="R412"/>
  <c r="V412" s="1"/>
  <c r="U413"/>
  <c r="R418"/>
  <c r="V418" s="1"/>
  <c r="U419"/>
  <c r="R422"/>
  <c r="V422" s="1"/>
  <c r="R428"/>
  <c r="V428" s="1"/>
  <c r="U429"/>
  <c r="R432"/>
  <c r="V432" s="1"/>
  <c r="U433"/>
  <c r="R436"/>
  <c r="V436" s="1"/>
  <c r="U437"/>
  <c r="R440"/>
  <c r="V440" s="1"/>
  <c r="U441"/>
  <c r="R444"/>
  <c r="V444" s="1"/>
  <c r="U445"/>
  <c r="R454"/>
  <c r="V454" s="1"/>
  <c r="R458"/>
  <c r="V458" s="1"/>
  <c r="U459"/>
  <c r="T108"/>
  <c r="R144"/>
  <c r="V144" s="1"/>
  <c r="T164"/>
  <c r="S182"/>
  <c r="U247"/>
  <c r="S259"/>
  <c r="U267"/>
  <c r="S269"/>
  <c r="T271"/>
  <c r="U284"/>
  <c r="U292"/>
  <c r="R293"/>
  <c r="V293" s="1"/>
  <c r="T303"/>
  <c r="R313"/>
  <c r="V313" s="1"/>
  <c r="T319"/>
  <c r="R331"/>
  <c r="V331" s="1"/>
  <c r="R335"/>
  <c r="V335" s="1"/>
  <c r="U337"/>
  <c r="U342"/>
  <c r="R344"/>
  <c r="V344" s="1"/>
  <c r="R359"/>
  <c r="V359" s="1"/>
  <c r="U368"/>
  <c r="T369"/>
  <c r="S370"/>
  <c r="U390"/>
  <c r="T391"/>
  <c r="S392"/>
  <c r="U394"/>
  <c r="T395"/>
  <c r="S396"/>
  <c r="U398"/>
  <c r="T399"/>
  <c r="S400"/>
  <c r="U402"/>
  <c r="T403"/>
  <c r="S404"/>
  <c r="T415"/>
  <c r="S416"/>
  <c r="U418"/>
  <c r="T419"/>
  <c r="S420"/>
  <c r="U422"/>
  <c r="S424"/>
  <c r="R427"/>
  <c r="V427" s="1"/>
  <c r="T429"/>
  <c r="R431"/>
  <c r="V431" s="1"/>
  <c r="T432"/>
  <c r="T433"/>
  <c r="R435"/>
  <c r="V435" s="1"/>
  <c r="T436"/>
  <c r="T437"/>
  <c r="R439"/>
  <c r="V439" s="1"/>
  <c r="T440"/>
  <c r="T441"/>
  <c r="R443"/>
  <c r="V443" s="1"/>
  <c r="T444"/>
  <c r="T445"/>
  <c r="R447"/>
  <c r="V447" s="1"/>
  <c r="S452"/>
  <c r="S456"/>
  <c r="S460"/>
  <c r="S462"/>
  <c r="R463"/>
  <c r="V463" s="1"/>
  <c r="T465"/>
  <c r="S466"/>
  <c r="R467"/>
  <c r="V467" s="1"/>
  <c r="R469"/>
  <c r="V469" s="1"/>
  <c r="S472"/>
  <c r="S474"/>
  <c r="R475"/>
  <c r="V475" s="1"/>
  <c r="T477"/>
  <c r="S478"/>
  <c r="R479"/>
  <c r="V479" s="1"/>
  <c r="T481"/>
  <c r="S482"/>
  <c r="R483"/>
  <c r="V483" s="1"/>
  <c r="T485"/>
  <c r="S486"/>
  <c r="R489"/>
  <c r="V489" s="1"/>
  <c r="S492"/>
  <c r="R493"/>
  <c r="V493" s="1"/>
  <c r="R495"/>
  <c r="V495" s="1"/>
  <c r="R497"/>
  <c r="V497" s="1"/>
  <c r="T499"/>
  <c r="S500"/>
  <c r="R501"/>
  <c r="V501" s="1"/>
  <c r="T503"/>
  <c r="S504"/>
  <c r="R507"/>
  <c r="V507" s="1"/>
  <c r="T509"/>
  <c r="S510"/>
  <c r="R511"/>
  <c r="V511" s="1"/>
  <c r="T513"/>
  <c r="S514"/>
  <c r="R515"/>
  <c r="V515" s="1"/>
  <c r="T517"/>
  <c r="S518"/>
  <c r="R519"/>
  <c r="V519" s="1"/>
  <c r="T521"/>
  <c r="S522"/>
  <c r="R523"/>
  <c r="V523" s="1"/>
  <c r="T525"/>
  <c r="S526"/>
  <c r="R527"/>
  <c r="V527" s="1"/>
  <c r="T531"/>
  <c r="S532"/>
  <c r="R533"/>
  <c r="V533" s="1"/>
  <c r="T535"/>
  <c r="S536"/>
  <c r="S538"/>
  <c r="R539"/>
  <c r="V539" s="1"/>
  <c r="T541"/>
  <c r="S542"/>
  <c r="R543"/>
  <c r="V543" s="1"/>
  <c r="S546"/>
  <c r="S548"/>
  <c r="R549"/>
  <c r="V549" s="1"/>
  <c r="T551"/>
  <c r="S552"/>
  <c r="R553"/>
  <c r="V553" s="1"/>
  <c r="T555"/>
  <c r="T557"/>
  <c r="R559"/>
  <c r="V559" s="1"/>
  <c r="T561"/>
  <c r="S562"/>
  <c r="R563"/>
  <c r="V563" s="1"/>
  <c r="T565"/>
  <c r="S566"/>
  <c r="R567"/>
  <c r="V567" s="1"/>
  <c r="T569"/>
  <c r="S570"/>
  <c r="R571"/>
  <c r="V571" s="1"/>
  <c r="R577"/>
  <c r="V577" s="1"/>
  <c r="T579"/>
  <c r="S580"/>
  <c r="R581"/>
  <c r="V581" s="1"/>
  <c r="T583"/>
  <c r="S584"/>
  <c r="R585"/>
  <c r="V585" s="1"/>
  <c r="R587"/>
  <c r="V587" s="1"/>
  <c r="T591"/>
  <c r="S592"/>
  <c r="R593"/>
  <c r="V593" s="1"/>
  <c r="T595"/>
  <c r="S596"/>
  <c r="R597"/>
  <c r="V597" s="1"/>
  <c r="S600"/>
  <c r="R601"/>
  <c r="V601" s="1"/>
  <c r="R609"/>
  <c r="V609" s="1"/>
  <c r="R613"/>
  <c r="V613" s="1"/>
  <c r="R617"/>
  <c r="V617" s="1"/>
  <c r="R621"/>
  <c r="V621" s="1"/>
  <c r="R623"/>
  <c r="V623" s="1"/>
  <c r="T625"/>
  <c r="T627"/>
  <c r="S628"/>
  <c r="R629"/>
  <c r="V629" s="1"/>
  <c r="R631"/>
  <c r="V631" s="1"/>
  <c r="S634"/>
  <c r="R635"/>
  <c r="V635" s="1"/>
  <c r="R639"/>
  <c r="V639" s="1"/>
  <c r="R641"/>
  <c r="V641" s="1"/>
  <c r="R645"/>
  <c r="V645" s="1"/>
  <c r="R649"/>
  <c r="V649" s="1"/>
  <c r="R653"/>
  <c r="V653" s="1"/>
  <c r="T655"/>
  <c r="S656"/>
  <c r="R657"/>
  <c r="V657" s="1"/>
  <c r="S660"/>
  <c r="T665"/>
  <c r="R667"/>
  <c r="V667" s="1"/>
  <c r="R669"/>
  <c r="V669" s="1"/>
  <c r="S671"/>
  <c r="R672"/>
  <c r="V672" s="1"/>
  <c r="T674"/>
  <c r="R676"/>
  <c r="V676" s="1"/>
  <c r="T678"/>
  <c r="S679"/>
  <c r="R680"/>
  <c r="V680" s="1"/>
  <c r="R682"/>
  <c r="V682" s="1"/>
  <c r="T686"/>
  <c r="S689"/>
  <c r="R690"/>
  <c r="V690" s="1"/>
  <c r="R692"/>
  <c r="V692" s="1"/>
  <c r="T694"/>
  <c r="S695"/>
  <c r="R696"/>
  <c r="V696" s="1"/>
  <c r="T698"/>
  <c r="S699"/>
  <c r="R700"/>
  <c r="V700" s="1"/>
  <c r="T706"/>
  <c r="T710"/>
  <c r="T714"/>
  <c r="R716"/>
  <c r="V716" s="1"/>
  <c r="T718"/>
  <c r="S719"/>
  <c r="R720"/>
  <c r="V720" s="1"/>
  <c r="T722"/>
  <c r="T728"/>
  <c r="S729"/>
  <c r="R730"/>
  <c r="V730" s="1"/>
  <c r="T732"/>
  <c r="T148"/>
  <c r="S165"/>
  <c r="S174"/>
  <c r="R192"/>
  <c r="V192" s="1"/>
  <c r="R196"/>
  <c r="V196" s="1"/>
  <c r="R200"/>
  <c r="V200" s="1"/>
  <c r="R204"/>
  <c r="V204" s="1"/>
  <c r="T212"/>
  <c r="T216"/>
  <c r="T220"/>
  <c r="T226"/>
  <c r="T272"/>
  <c r="R274"/>
  <c r="V274" s="1"/>
  <c r="R279"/>
  <c r="V279" s="1"/>
  <c r="U285"/>
  <c r="R287"/>
  <c r="V287" s="1"/>
  <c r="T304"/>
  <c r="R306"/>
  <c r="V306" s="1"/>
  <c r="R320"/>
  <c r="V320" s="1"/>
  <c r="T332"/>
  <c r="T336"/>
  <c r="R343"/>
  <c r="V343" s="1"/>
  <c r="S360"/>
  <c r="U362"/>
  <c r="T363"/>
  <c r="T385"/>
  <c r="S410"/>
  <c r="U412"/>
  <c r="T413"/>
  <c r="S414"/>
  <c r="S429"/>
  <c r="S433"/>
  <c r="S437"/>
  <c r="S441"/>
  <c r="S445"/>
  <c r="R452"/>
  <c r="V452" s="1"/>
  <c r="U453"/>
  <c r="U454"/>
  <c r="R456"/>
  <c r="V456" s="1"/>
  <c r="U457"/>
  <c r="U458"/>
  <c r="R460"/>
  <c r="V460" s="1"/>
  <c r="U461"/>
  <c r="R462"/>
  <c r="V462" s="1"/>
  <c r="S465"/>
  <c r="R466"/>
  <c r="V466" s="1"/>
  <c r="R472"/>
  <c r="V472" s="1"/>
  <c r="R474"/>
  <c r="V474" s="1"/>
  <c r="S477"/>
  <c r="R478"/>
  <c r="V478" s="1"/>
  <c r="S481"/>
  <c r="R482"/>
  <c r="V482" s="1"/>
  <c r="S485"/>
  <c r="R486"/>
  <c r="V486" s="1"/>
  <c r="R492"/>
  <c r="V492" s="1"/>
  <c r="R500"/>
  <c r="V500" s="1"/>
  <c r="S503"/>
  <c r="R504"/>
  <c r="V504" s="1"/>
  <c r="R510"/>
  <c r="V510" s="1"/>
  <c r="S513"/>
  <c r="R514"/>
  <c r="V514" s="1"/>
  <c r="R518"/>
  <c r="V518" s="1"/>
  <c r="R522"/>
  <c r="V522" s="1"/>
  <c r="R526"/>
  <c r="V526" s="1"/>
  <c r="S531"/>
  <c r="R532"/>
  <c r="V532" s="1"/>
  <c r="R536"/>
  <c r="V536" s="1"/>
  <c r="R538"/>
  <c r="V538" s="1"/>
  <c r="S541"/>
  <c r="R542"/>
  <c r="V542" s="1"/>
  <c r="R546"/>
  <c r="V546" s="1"/>
  <c r="R548"/>
  <c r="V548" s="1"/>
  <c r="S551"/>
  <c r="R552"/>
  <c r="V552" s="1"/>
  <c r="S557"/>
  <c r="S561"/>
  <c r="R562"/>
  <c r="V562" s="1"/>
  <c r="S565"/>
  <c r="R566"/>
  <c r="V566" s="1"/>
  <c r="R570"/>
  <c r="V570" s="1"/>
  <c r="U577"/>
  <c r="R580"/>
  <c r="V580" s="1"/>
  <c r="S583"/>
  <c r="R584"/>
  <c r="V584" s="1"/>
  <c r="U585"/>
  <c r="U587"/>
  <c r="S591"/>
  <c r="R592"/>
  <c r="V592" s="1"/>
  <c r="U593"/>
  <c r="S595"/>
  <c r="R596"/>
  <c r="V596" s="1"/>
  <c r="U597"/>
  <c r="R600"/>
  <c r="V600" s="1"/>
  <c r="U601"/>
  <c r="R604"/>
  <c r="V604" s="1"/>
  <c r="R608"/>
  <c r="V608" s="1"/>
  <c r="U609"/>
  <c r="R612"/>
  <c r="V612" s="1"/>
  <c r="U613"/>
  <c r="R616"/>
  <c r="V616" s="1"/>
  <c r="U617"/>
  <c r="U621"/>
  <c r="U623"/>
  <c r="S625"/>
  <c r="S627"/>
  <c r="R628"/>
  <c r="V628" s="1"/>
  <c r="U629"/>
  <c r="R634"/>
  <c r="V634" s="1"/>
  <c r="U635"/>
  <c r="R638"/>
  <c r="V638" s="1"/>
  <c r="U639"/>
  <c r="U641"/>
  <c r="R644"/>
  <c r="V644" s="1"/>
  <c r="U645"/>
  <c r="R648"/>
  <c r="V648" s="1"/>
  <c r="U649"/>
  <c r="R652"/>
  <c r="V652" s="1"/>
  <c r="U653"/>
  <c r="S655"/>
  <c r="R656"/>
  <c r="V656" s="1"/>
  <c r="U657"/>
  <c r="R660"/>
  <c r="V660" s="1"/>
  <c r="S665"/>
  <c r="R666"/>
  <c r="V666" s="1"/>
  <c r="U667"/>
  <c r="U669"/>
  <c r="R671"/>
  <c r="V671" s="1"/>
  <c r="U672"/>
  <c r="S674"/>
  <c r="R675"/>
  <c r="V675" s="1"/>
  <c r="U676"/>
  <c r="S678"/>
  <c r="R679"/>
  <c r="V679" s="1"/>
  <c r="R689"/>
  <c r="V689" s="1"/>
  <c r="U690"/>
  <c r="U692"/>
  <c r="S694"/>
  <c r="R695"/>
  <c r="V695" s="1"/>
  <c r="R699"/>
  <c r="V699" s="1"/>
  <c r="U700"/>
  <c r="S702"/>
  <c r="R703"/>
  <c r="V703" s="1"/>
  <c r="S706"/>
  <c r="R707"/>
  <c r="V707" s="1"/>
  <c r="S710"/>
  <c r="R711"/>
  <c r="V711" s="1"/>
  <c r="S714"/>
  <c r="R715"/>
  <c r="V715" s="1"/>
  <c r="U716"/>
  <c r="R719"/>
  <c r="V719" s="1"/>
  <c r="U720"/>
  <c r="R723"/>
  <c r="V723" s="1"/>
  <c r="R729"/>
  <c r="V729" s="1"/>
  <c r="U730"/>
  <c r="S732"/>
  <c r="R733"/>
  <c r="V733" s="1"/>
  <c r="U115"/>
  <c r="S166"/>
  <c r="T248"/>
  <c r="T268"/>
  <c r="T275"/>
  <c r="U280"/>
  <c r="U288"/>
  <c r="S298"/>
  <c r="T307"/>
  <c r="R315"/>
  <c r="V315" s="1"/>
  <c r="R324"/>
  <c r="V324" s="1"/>
  <c r="R328"/>
  <c r="V328" s="1"/>
  <c r="R333"/>
  <c r="V333" s="1"/>
  <c r="U348"/>
  <c r="T349"/>
  <c r="S350"/>
  <c r="U352"/>
  <c r="T353"/>
  <c r="S354"/>
  <c r="U356"/>
  <c r="T357"/>
  <c r="U366"/>
  <c r="S372"/>
  <c r="U374"/>
  <c r="T375"/>
  <c r="S376"/>
  <c r="U378"/>
  <c r="T379"/>
  <c r="S380"/>
  <c r="U382"/>
  <c r="S384"/>
  <c r="U388"/>
  <c r="S408"/>
  <c r="R453"/>
  <c r="V453" s="1"/>
  <c r="T454"/>
  <c r="T455"/>
  <c r="R457"/>
  <c r="V457" s="1"/>
  <c r="T458"/>
  <c r="T459"/>
  <c r="R461"/>
  <c r="V461" s="1"/>
  <c r="U462"/>
  <c r="R465"/>
  <c r="V465" s="1"/>
  <c r="R477"/>
  <c r="V477" s="1"/>
  <c r="R481"/>
  <c r="V481" s="1"/>
  <c r="R485"/>
  <c r="V485" s="1"/>
  <c r="R499"/>
  <c r="V499" s="1"/>
  <c r="U500"/>
  <c r="R503"/>
  <c r="V503" s="1"/>
  <c r="U504"/>
  <c r="R509"/>
  <c r="V509" s="1"/>
  <c r="U510"/>
  <c r="R513"/>
  <c r="V513" s="1"/>
  <c r="U514"/>
  <c r="R517"/>
  <c r="V517" s="1"/>
  <c r="U518"/>
  <c r="R521"/>
  <c r="V521" s="1"/>
  <c r="U522"/>
  <c r="R525"/>
  <c r="V525" s="1"/>
  <c r="U526"/>
  <c r="R531"/>
  <c r="V531" s="1"/>
  <c r="U532"/>
  <c r="R535"/>
  <c r="V535" s="1"/>
  <c r="U536"/>
  <c r="U538"/>
  <c r="R541"/>
  <c r="V541" s="1"/>
  <c r="U542"/>
  <c r="U546"/>
  <c r="U548"/>
  <c r="R551"/>
  <c r="V551" s="1"/>
  <c r="U552"/>
  <c r="R555"/>
  <c r="V555" s="1"/>
  <c r="R557"/>
  <c r="V557" s="1"/>
  <c r="R561"/>
  <c r="V561" s="1"/>
  <c r="U562"/>
  <c r="R565"/>
  <c r="V565" s="1"/>
  <c r="U566"/>
  <c r="R569"/>
  <c r="V569" s="1"/>
  <c r="U570"/>
  <c r="T577"/>
  <c r="R579"/>
  <c r="V579" s="1"/>
  <c r="U580"/>
  <c r="R583"/>
  <c r="V583" s="1"/>
  <c r="U584"/>
  <c r="T585"/>
  <c r="T587"/>
  <c r="R591"/>
  <c r="V591" s="1"/>
  <c r="U592"/>
  <c r="T593"/>
  <c r="R595"/>
  <c r="V595" s="1"/>
  <c r="U596"/>
  <c r="T597"/>
  <c r="R599"/>
  <c r="V599" s="1"/>
  <c r="U600"/>
  <c r="T601"/>
  <c r="R603"/>
  <c r="V603" s="1"/>
  <c r="U604"/>
  <c r="R607"/>
  <c r="V607" s="1"/>
  <c r="U608"/>
  <c r="T609"/>
  <c r="R611"/>
  <c r="V611" s="1"/>
  <c r="U612"/>
  <c r="T613"/>
  <c r="R615"/>
  <c r="V615" s="1"/>
  <c r="U616"/>
  <c r="T617"/>
  <c r="T621"/>
  <c r="T623"/>
  <c r="R625"/>
  <c r="V625" s="1"/>
  <c r="R627"/>
  <c r="V627" s="1"/>
  <c r="U628"/>
  <c r="T629"/>
  <c r="T631"/>
  <c r="R633"/>
  <c r="V633" s="1"/>
  <c r="U634"/>
  <c r="T635"/>
  <c r="R637"/>
  <c r="V637" s="1"/>
  <c r="U638"/>
  <c r="T639"/>
  <c r="T641"/>
  <c r="U644"/>
  <c r="T645"/>
  <c r="R647"/>
  <c r="V647" s="1"/>
  <c r="U648"/>
  <c r="T649"/>
  <c r="R651"/>
  <c r="V651" s="1"/>
  <c r="U652"/>
  <c r="T653"/>
  <c r="R655"/>
  <c r="V655" s="1"/>
  <c r="U656"/>
  <c r="T657"/>
  <c r="R659"/>
  <c r="V659" s="1"/>
  <c r="U660"/>
  <c r="R665"/>
  <c r="V665" s="1"/>
  <c r="U666"/>
  <c r="T667"/>
  <c r="T669"/>
  <c r="R674"/>
  <c r="V674" s="1"/>
  <c r="U675"/>
  <c r="T676"/>
  <c r="R678"/>
  <c r="V678" s="1"/>
  <c r="U679"/>
  <c r="T680"/>
  <c r="T682"/>
  <c r="R686"/>
  <c r="V686" s="1"/>
  <c r="R688"/>
  <c r="V688" s="1"/>
  <c r="U689"/>
  <c r="T690"/>
  <c r="T692"/>
  <c r="R694"/>
  <c r="V694" s="1"/>
  <c r="U695"/>
  <c r="R698"/>
  <c r="V698" s="1"/>
  <c r="U699"/>
  <c r="R702"/>
  <c r="V702" s="1"/>
  <c r="U703"/>
  <c r="R706"/>
  <c r="V706" s="1"/>
  <c r="R710"/>
  <c r="V710" s="1"/>
  <c r="R714"/>
  <c r="V714" s="1"/>
  <c r="T716"/>
  <c r="R718"/>
  <c r="V718" s="1"/>
  <c r="U719"/>
  <c r="T720"/>
  <c r="R722"/>
  <c r="V722" s="1"/>
  <c r="U723"/>
  <c r="R728"/>
  <c r="V728" s="1"/>
  <c r="U729"/>
  <c r="T730"/>
  <c r="R732"/>
  <c r="V732" s="1"/>
  <c r="S163"/>
  <c r="U215"/>
  <c r="U229"/>
  <c r="U281"/>
  <c r="U289"/>
  <c r="U334"/>
  <c r="R347"/>
  <c r="V347" s="1"/>
  <c r="R351"/>
  <c r="V351" s="1"/>
  <c r="R355"/>
  <c r="V355" s="1"/>
  <c r="R387"/>
  <c r="V387" s="1"/>
  <c r="U435"/>
  <c r="U443"/>
  <c r="T470"/>
  <c r="S497"/>
  <c r="U499"/>
  <c r="T500"/>
  <c r="S501"/>
  <c r="U503"/>
  <c r="T504"/>
  <c r="T546"/>
  <c r="T572"/>
  <c r="S621"/>
  <c r="S631"/>
  <c r="U633"/>
  <c r="T634"/>
  <c r="S635"/>
  <c r="U637"/>
  <c r="T638"/>
  <c r="S639"/>
  <c r="T644"/>
  <c r="S645"/>
  <c r="U647"/>
  <c r="T648"/>
  <c r="S649"/>
  <c r="U651"/>
  <c r="T652"/>
  <c r="S653"/>
  <c r="U655"/>
  <c r="T656"/>
  <c r="S657"/>
  <c r="U659"/>
  <c r="T660"/>
  <c r="S663"/>
  <c r="U665"/>
  <c r="T666"/>
  <c r="S667"/>
  <c r="U710"/>
  <c r="T711"/>
  <c r="U733"/>
  <c r="R734"/>
  <c r="V734" s="1"/>
  <c r="R742"/>
  <c r="V742" s="1"/>
  <c r="R746"/>
  <c r="V746" s="1"/>
  <c r="R748"/>
  <c r="V748" s="1"/>
  <c r="R756"/>
  <c r="V756" s="1"/>
  <c r="R764"/>
  <c r="V764" s="1"/>
  <c r="R768"/>
  <c r="V768" s="1"/>
  <c r="R778"/>
  <c r="V778" s="1"/>
  <c r="R782"/>
  <c r="V782" s="1"/>
  <c r="R788"/>
  <c r="V788" s="1"/>
  <c r="R792"/>
  <c r="V792" s="1"/>
  <c r="R796"/>
  <c r="V796" s="1"/>
  <c r="R800"/>
  <c r="V800" s="1"/>
  <c r="T802"/>
  <c r="R804"/>
  <c r="V804" s="1"/>
  <c r="T806"/>
  <c r="R808"/>
  <c r="V808" s="1"/>
  <c r="R812"/>
  <c r="V812" s="1"/>
  <c r="R822"/>
  <c r="V822" s="1"/>
  <c r="T826"/>
  <c r="S827"/>
  <c r="S831"/>
  <c r="R832"/>
  <c r="V832" s="1"/>
  <c r="R834"/>
  <c r="V834" s="1"/>
  <c r="T836"/>
  <c r="R838"/>
  <c r="V838" s="1"/>
  <c r="S841"/>
  <c r="R842"/>
  <c r="V842" s="1"/>
  <c r="R846"/>
  <c r="V846" s="1"/>
  <c r="R848"/>
  <c r="V848" s="1"/>
  <c r="S851"/>
  <c r="R852"/>
  <c r="V852" s="1"/>
  <c r="T854"/>
  <c r="R856"/>
  <c r="V856" s="1"/>
  <c r="T864"/>
  <c r="S865"/>
  <c r="R866"/>
  <c r="V866" s="1"/>
  <c r="T868"/>
  <c r="S869"/>
  <c r="R870"/>
  <c r="V870" s="1"/>
  <c r="T874"/>
  <c r="T876"/>
  <c r="T878"/>
  <c r="R880"/>
  <c r="V880" s="1"/>
  <c r="S883"/>
  <c r="R888"/>
  <c r="V888" s="1"/>
  <c r="T890"/>
  <c r="T892"/>
  <c r="T894"/>
  <c r="T896"/>
  <c r="R898"/>
  <c r="V898" s="1"/>
  <c r="T900"/>
  <c r="R902"/>
  <c r="V902" s="1"/>
  <c r="R904"/>
  <c r="V904" s="1"/>
  <c r="T906"/>
  <c r="R908"/>
  <c r="V908" s="1"/>
  <c r="T912"/>
  <c r="S913"/>
  <c r="R914"/>
  <c r="V914" s="1"/>
  <c r="S923"/>
  <c r="R924"/>
  <c r="V924" s="1"/>
  <c r="S927"/>
  <c r="R928"/>
  <c r="V928" s="1"/>
  <c r="S931"/>
  <c r="R932"/>
  <c r="V932" s="1"/>
  <c r="R936"/>
  <c r="V936" s="1"/>
  <c r="T938"/>
  <c r="S939"/>
  <c r="R940"/>
  <c r="V940" s="1"/>
  <c r="R942"/>
  <c r="V942" s="1"/>
  <c r="R944"/>
  <c r="V944" s="1"/>
  <c r="T946"/>
  <c r="S947"/>
  <c r="R948"/>
  <c r="V948" s="1"/>
  <c r="T950"/>
  <c r="S951"/>
  <c r="R954"/>
  <c r="V954" s="1"/>
  <c r="S957"/>
  <c r="R958"/>
  <c r="V958" s="1"/>
  <c r="R960"/>
  <c r="V960" s="1"/>
  <c r="T962"/>
  <c r="S963"/>
  <c r="R964"/>
  <c r="V964" s="1"/>
  <c r="T966"/>
  <c r="S967"/>
  <c r="R968"/>
  <c r="V968" s="1"/>
  <c r="T970"/>
  <c r="R153"/>
  <c r="V153" s="1"/>
  <c r="S217"/>
  <c r="R283"/>
  <c r="V283" s="1"/>
  <c r="R291"/>
  <c r="V291" s="1"/>
  <c r="U325"/>
  <c r="R340"/>
  <c r="V340" s="1"/>
  <c r="R365"/>
  <c r="V365" s="1"/>
  <c r="R423"/>
  <c r="V423" s="1"/>
  <c r="S426"/>
  <c r="U428"/>
  <c r="R430"/>
  <c r="V430" s="1"/>
  <c r="U436"/>
  <c r="R438"/>
  <c r="V438" s="1"/>
  <c r="U444"/>
  <c r="R446"/>
  <c r="V446" s="1"/>
  <c r="S455"/>
  <c r="S469"/>
  <c r="U487"/>
  <c r="S489"/>
  <c r="U529"/>
  <c r="U557"/>
  <c r="S559"/>
  <c r="U561"/>
  <c r="T562"/>
  <c r="S563"/>
  <c r="U565"/>
  <c r="T566"/>
  <c r="S567"/>
  <c r="U569"/>
  <c r="T570"/>
  <c r="S571"/>
  <c r="S587"/>
  <c r="U591"/>
  <c r="T592"/>
  <c r="S593"/>
  <c r="U595"/>
  <c r="T596"/>
  <c r="S597"/>
  <c r="U599"/>
  <c r="T600"/>
  <c r="S601"/>
  <c r="U603"/>
  <c r="T604"/>
  <c r="S619"/>
  <c r="U627"/>
  <c r="T628"/>
  <c r="S629"/>
  <c r="S682"/>
  <c r="U686"/>
  <c r="U704"/>
  <c r="U714"/>
  <c r="T715"/>
  <c r="S716"/>
  <c r="U718"/>
  <c r="T719"/>
  <c r="S720"/>
  <c r="U722"/>
  <c r="T723"/>
  <c r="S726"/>
  <c r="U728"/>
  <c r="T729"/>
  <c r="S730"/>
  <c r="U732"/>
  <c r="T733"/>
  <c r="U734"/>
  <c r="S740"/>
  <c r="R741"/>
  <c r="V741" s="1"/>
  <c r="U742"/>
  <c r="S744"/>
  <c r="R745"/>
  <c r="V745" s="1"/>
  <c r="U746"/>
  <c r="U748"/>
  <c r="U756"/>
  <c r="S758"/>
  <c r="S760"/>
  <c r="R761"/>
  <c r="V761" s="1"/>
  <c r="R763"/>
  <c r="V763" s="1"/>
  <c r="U764"/>
  <c r="S766"/>
  <c r="R767"/>
  <c r="V767" s="1"/>
  <c r="U768"/>
  <c r="S774"/>
  <c r="R775"/>
  <c r="V775" s="1"/>
  <c r="R777"/>
  <c r="V777" s="1"/>
  <c r="U778"/>
  <c r="S780"/>
  <c r="R781"/>
  <c r="V781" s="1"/>
  <c r="U782"/>
  <c r="R787"/>
  <c r="V787" s="1"/>
  <c r="U788"/>
  <c r="S790"/>
  <c r="R791"/>
  <c r="V791" s="1"/>
  <c r="U792"/>
  <c r="S794"/>
  <c r="R795"/>
  <c r="V795" s="1"/>
  <c r="U796"/>
  <c r="U800"/>
  <c r="S802"/>
  <c r="R803"/>
  <c r="V803" s="1"/>
  <c r="U804"/>
  <c r="S806"/>
  <c r="R807"/>
  <c r="V807" s="1"/>
  <c r="U808"/>
  <c r="S810"/>
  <c r="R811"/>
  <c r="V811" s="1"/>
  <c r="U812"/>
  <c r="S816"/>
  <c r="R817"/>
  <c r="V817" s="1"/>
  <c r="S820"/>
  <c r="R821"/>
  <c r="V821" s="1"/>
  <c r="U822"/>
  <c r="S826"/>
  <c r="R827"/>
  <c r="V827" s="1"/>
  <c r="S830"/>
  <c r="R831"/>
  <c r="V831" s="1"/>
  <c r="U832"/>
  <c r="U834"/>
  <c r="S836"/>
  <c r="R837"/>
  <c r="V837" s="1"/>
  <c r="U838"/>
  <c r="R841"/>
  <c r="V841" s="1"/>
  <c r="U842"/>
  <c r="R845"/>
  <c r="V845" s="1"/>
  <c r="U846"/>
  <c r="U848"/>
  <c r="S850"/>
  <c r="R851"/>
  <c r="V851" s="1"/>
  <c r="U852"/>
  <c r="S854"/>
  <c r="R855"/>
  <c r="V855" s="1"/>
  <c r="U856"/>
  <c r="S858"/>
  <c r="S864"/>
  <c r="R865"/>
  <c r="V865" s="1"/>
  <c r="U866"/>
  <c r="S868"/>
  <c r="R869"/>
  <c r="V869" s="1"/>
  <c r="U870"/>
  <c r="S874"/>
  <c r="S876"/>
  <c r="S878"/>
  <c r="R879"/>
  <c r="V879" s="1"/>
  <c r="U880"/>
  <c r="R883"/>
  <c r="V883" s="1"/>
  <c r="R885"/>
  <c r="V885" s="1"/>
  <c r="R887"/>
  <c r="V887" s="1"/>
  <c r="U888"/>
  <c r="S890"/>
  <c r="S892"/>
  <c r="S894"/>
  <c r="S896"/>
  <c r="R897"/>
  <c r="V897" s="1"/>
  <c r="U898"/>
  <c r="S900"/>
  <c r="R901"/>
  <c r="V901" s="1"/>
  <c r="U902"/>
  <c r="U904"/>
  <c r="S906"/>
  <c r="R907"/>
  <c r="V907" s="1"/>
  <c r="U908"/>
  <c r="S912"/>
  <c r="R913"/>
  <c r="V913" s="1"/>
  <c r="U914"/>
  <c r="S916"/>
  <c r="R923"/>
  <c r="V923" s="1"/>
  <c r="U924"/>
  <c r="R927"/>
  <c r="V927" s="1"/>
  <c r="R931"/>
  <c r="V931" s="1"/>
  <c r="U932"/>
  <c r="U936"/>
  <c r="S938"/>
  <c r="R939"/>
  <c r="V939" s="1"/>
  <c r="R947"/>
  <c r="V947" s="1"/>
  <c r="R951"/>
  <c r="V951" s="1"/>
  <c r="R957"/>
  <c r="V957" s="1"/>
  <c r="R963"/>
  <c r="V963" s="1"/>
  <c r="R967"/>
  <c r="V967" s="1"/>
  <c r="S970"/>
  <c r="T124"/>
  <c r="U211"/>
  <c r="U219"/>
  <c r="U225"/>
  <c r="T300"/>
  <c r="T308"/>
  <c r="T316"/>
  <c r="U330"/>
  <c r="R341"/>
  <c r="V341" s="1"/>
  <c r="R373"/>
  <c r="V373" s="1"/>
  <c r="R377"/>
  <c r="V377" s="1"/>
  <c r="R381"/>
  <c r="V381" s="1"/>
  <c r="U431"/>
  <c r="U439"/>
  <c r="U447"/>
  <c r="T474"/>
  <c r="S475"/>
  <c r="U477"/>
  <c r="T478"/>
  <c r="S479"/>
  <c r="U481"/>
  <c r="T482"/>
  <c r="S483"/>
  <c r="U485"/>
  <c r="T486"/>
  <c r="T494"/>
  <c r="S495"/>
  <c r="R506"/>
  <c r="V506" s="1"/>
  <c r="T538"/>
  <c r="S539"/>
  <c r="U541"/>
  <c r="T542"/>
  <c r="S543"/>
  <c r="R556"/>
  <c r="V556" s="1"/>
  <c r="R560"/>
  <c r="V560" s="1"/>
  <c r="R564"/>
  <c r="V564" s="1"/>
  <c r="R568"/>
  <c r="V568" s="1"/>
  <c r="R574"/>
  <c r="V574" s="1"/>
  <c r="R590"/>
  <c r="V590" s="1"/>
  <c r="R594"/>
  <c r="V594" s="1"/>
  <c r="R598"/>
  <c r="V598" s="1"/>
  <c r="R602"/>
  <c r="V602" s="1"/>
  <c r="U607"/>
  <c r="T608"/>
  <c r="S609"/>
  <c r="U611"/>
  <c r="T612"/>
  <c r="S613"/>
  <c r="U615"/>
  <c r="T616"/>
  <c r="S617"/>
  <c r="R626"/>
  <c r="V626" s="1"/>
  <c r="S641"/>
  <c r="R662"/>
  <c r="V662" s="1"/>
  <c r="R685"/>
  <c r="V685" s="1"/>
  <c r="S692"/>
  <c r="U694"/>
  <c r="T695"/>
  <c r="S696"/>
  <c r="U698"/>
  <c r="T699"/>
  <c r="S700"/>
  <c r="U702"/>
  <c r="T703"/>
  <c r="R713"/>
  <c r="V713" s="1"/>
  <c r="R717"/>
  <c r="V717" s="1"/>
  <c r="R721"/>
  <c r="V721" s="1"/>
  <c r="R727"/>
  <c r="V727" s="1"/>
  <c r="R731"/>
  <c r="V731" s="1"/>
  <c r="T734"/>
  <c r="R740"/>
  <c r="V740" s="1"/>
  <c r="T742"/>
  <c r="R744"/>
  <c r="V744" s="1"/>
  <c r="T746"/>
  <c r="T748"/>
  <c r="T756"/>
  <c r="R758"/>
  <c r="V758" s="1"/>
  <c r="R760"/>
  <c r="V760" s="1"/>
  <c r="T764"/>
  <c r="R766"/>
  <c r="V766" s="1"/>
  <c r="T768"/>
  <c r="R774"/>
  <c r="V774" s="1"/>
  <c r="T778"/>
  <c r="R780"/>
  <c r="V780" s="1"/>
  <c r="T782"/>
  <c r="R790"/>
  <c r="V790" s="1"/>
  <c r="T792"/>
  <c r="R794"/>
  <c r="V794" s="1"/>
  <c r="T796"/>
  <c r="T800"/>
  <c r="R802"/>
  <c r="V802" s="1"/>
  <c r="T804"/>
  <c r="R806"/>
  <c r="V806" s="1"/>
  <c r="T808"/>
  <c r="R810"/>
  <c r="V810" s="1"/>
  <c r="T812"/>
  <c r="R816"/>
  <c r="V816" s="1"/>
  <c r="U817"/>
  <c r="R820"/>
  <c r="V820" s="1"/>
  <c r="U821"/>
  <c r="T822"/>
  <c r="R826"/>
  <c r="V826" s="1"/>
  <c r="U827"/>
  <c r="R830"/>
  <c r="V830" s="1"/>
  <c r="U831"/>
  <c r="T832"/>
  <c r="T834"/>
  <c r="R836"/>
  <c r="V836" s="1"/>
  <c r="U837"/>
  <c r="T838"/>
  <c r="R840"/>
  <c r="V840" s="1"/>
  <c r="U841"/>
  <c r="T842"/>
  <c r="U845"/>
  <c r="T846"/>
  <c r="T848"/>
  <c r="R850"/>
  <c r="V850" s="1"/>
  <c r="U851"/>
  <c r="T852"/>
  <c r="R854"/>
  <c r="V854" s="1"/>
  <c r="U855"/>
  <c r="T856"/>
  <c r="R858"/>
  <c r="V858" s="1"/>
  <c r="R864"/>
  <c r="V864" s="1"/>
  <c r="U865"/>
  <c r="T866"/>
  <c r="R868"/>
  <c r="V868" s="1"/>
  <c r="U869"/>
  <c r="T870"/>
  <c r="R874"/>
  <c r="V874" s="1"/>
  <c r="R876"/>
  <c r="V876" s="1"/>
  <c r="R878"/>
  <c r="V878" s="1"/>
  <c r="U879"/>
  <c r="T880"/>
  <c r="U883"/>
  <c r="R890"/>
  <c r="V890" s="1"/>
  <c r="R892"/>
  <c r="V892" s="1"/>
  <c r="R894"/>
  <c r="V894" s="1"/>
  <c r="R896"/>
  <c r="V896" s="1"/>
  <c r="R900"/>
  <c r="V900" s="1"/>
  <c r="T902"/>
  <c r="T904"/>
  <c r="R906"/>
  <c r="V906" s="1"/>
  <c r="T908"/>
  <c r="R912"/>
  <c r="V912" s="1"/>
  <c r="U913"/>
  <c r="T914"/>
  <c r="R916"/>
  <c r="V916" s="1"/>
  <c r="R918"/>
  <c r="V918" s="1"/>
  <c r="U923"/>
  <c r="T924"/>
  <c r="R926"/>
  <c r="V926" s="1"/>
  <c r="U927"/>
  <c r="T928"/>
  <c r="R930"/>
  <c r="V930" s="1"/>
  <c r="U931"/>
  <c r="T932"/>
  <c r="R934"/>
  <c r="V934" s="1"/>
  <c r="R938"/>
  <c r="V938" s="1"/>
  <c r="U939"/>
  <c r="R946"/>
  <c r="V946" s="1"/>
  <c r="U947"/>
  <c r="R950"/>
  <c r="V950" s="1"/>
  <c r="U951"/>
  <c r="U957"/>
  <c r="R962"/>
  <c r="V962" s="1"/>
  <c r="U963"/>
  <c r="R966"/>
  <c r="V966" s="1"/>
  <c r="U967"/>
  <c r="R970"/>
  <c r="V970" s="1"/>
  <c r="R323"/>
  <c r="V323" s="1"/>
  <c r="S463"/>
  <c r="U465"/>
  <c r="S467"/>
  <c r="T492"/>
  <c r="T510"/>
  <c r="T514"/>
  <c r="T518"/>
  <c r="T522"/>
  <c r="T526"/>
  <c r="T532"/>
  <c r="T536"/>
  <c r="U547"/>
  <c r="S549"/>
  <c r="U551"/>
  <c r="S553"/>
  <c r="U555"/>
  <c r="T580"/>
  <c r="T584"/>
  <c r="S669"/>
  <c r="T671"/>
  <c r="T675"/>
  <c r="T679"/>
  <c r="R693"/>
  <c r="V693" s="1"/>
  <c r="R697"/>
  <c r="V697" s="1"/>
  <c r="R701"/>
  <c r="V701" s="1"/>
  <c r="R725"/>
  <c r="V725" s="1"/>
  <c r="S734"/>
  <c r="T751"/>
  <c r="T763"/>
  <c r="S764"/>
  <c r="U766"/>
  <c r="T767"/>
  <c r="S768"/>
  <c r="T785"/>
  <c r="T813"/>
  <c r="T843"/>
  <c r="T885"/>
  <c r="T903"/>
  <c r="S904"/>
  <c r="U906"/>
  <c r="T907"/>
  <c r="S908"/>
  <c r="U912"/>
  <c r="T913"/>
  <c r="S914"/>
  <c r="U916"/>
  <c r="S942"/>
  <c r="S972"/>
  <c r="R979"/>
  <c r="V979" s="1"/>
  <c r="S982"/>
  <c r="R983"/>
  <c r="V983" s="1"/>
  <c r="S988"/>
  <c r="R990"/>
  <c r="V990" s="1"/>
  <c r="S993"/>
  <c r="R994"/>
  <c r="V994" s="1"/>
  <c r="S997"/>
  <c r="S1001"/>
  <c r="R1003"/>
  <c r="V1003" s="1"/>
  <c r="S1006"/>
  <c r="R1007"/>
  <c r="V1007" s="1"/>
  <c r="S1010"/>
  <c r="R1011"/>
  <c r="V1011" s="1"/>
  <c r="S1020"/>
  <c r="R1021"/>
  <c r="V1021" s="1"/>
  <c r="S1024"/>
  <c r="R1025"/>
  <c r="V1025" s="1"/>
  <c r="S1032"/>
  <c r="S1034"/>
  <c r="R1035"/>
  <c r="V1035" s="1"/>
  <c r="R1039"/>
  <c r="V1039" s="1"/>
  <c r="S1044"/>
  <c r="R1045"/>
  <c r="V1045" s="1"/>
  <c r="S221"/>
  <c r="R310"/>
  <c r="V310" s="1"/>
  <c r="T425"/>
  <c r="U471"/>
  <c r="U573"/>
  <c r="R606"/>
  <c r="V606" s="1"/>
  <c r="R610"/>
  <c r="V610" s="1"/>
  <c r="R614"/>
  <c r="V614" s="1"/>
  <c r="R618"/>
  <c r="V618" s="1"/>
  <c r="T689"/>
  <c r="T707"/>
  <c r="U760"/>
  <c r="T761"/>
  <c r="T799"/>
  <c r="S800"/>
  <c r="U802"/>
  <c r="T803"/>
  <c r="S804"/>
  <c r="U806"/>
  <c r="T807"/>
  <c r="S808"/>
  <c r="U810"/>
  <c r="T811"/>
  <c r="S812"/>
  <c r="U816"/>
  <c r="T817"/>
  <c r="U826"/>
  <c r="T827"/>
  <c r="S834"/>
  <c r="U836"/>
  <c r="T837"/>
  <c r="S838"/>
  <c r="U840"/>
  <c r="T841"/>
  <c r="S842"/>
  <c r="U876"/>
  <c r="T883"/>
  <c r="U892"/>
  <c r="U896"/>
  <c r="T897"/>
  <c r="S898"/>
  <c r="U900"/>
  <c r="T901"/>
  <c r="S902"/>
  <c r="T923"/>
  <c r="S924"/>
  <c r="U926"/>
  <c r="T927"/>
  <c r="S928"/>
  <c r="U930"/>
  <c r="T931"/>
  <c r="S932"/>
  <c r="U934"/>
  <c r="S936"/>
  <c r="U938"/>
  <c r="T939"/>
  <c r="S940"/>
  <c r="S954"/>
  <c r="S960"/>
  <c r="U962"/>
  <c r="T963"/>
  <c r="S964"/>
  <c r="U966"/>
  <c r="T967"/>
  <c r="S968"/>
  <c r="U970"/>
  <c r="R972"/>
  <c r="V972" s="1"/>
  <c r="R982"/>
  <c r="V982" s="1"/>
  <c r="R988"/>
  <c r="V988" s="1"/>
  <c r="R993"/>
  <c r="V993" s="1"/>
  <c r="R997"/>
  <c r="V997" s="1"/>
  <c r="R1001"/>
  <c r="V1001" s="1"/>
  <c r="R1006"/>
  <c r="V1006" s="1"/>
  <c r="R1010"/>
  <c r="V1010" s="1"/>
  <c r="R1020"/>
  <c r="V1020" s="1"/>
  <c r="R1024"/>
  <c r="V1024" s="1"/>
  <c r="R1032"/>
  <c r="V1032" s="1"/>
  <c r="R1034"/>
  <c r="V1034" s="1"/>
  <c r="R1044"/>
  <c r="V1044" s="1"/>
  <c r="S213"/>
  <c r="S227"/>
  <c r="R327"/>
  <c r="V327" s="1"/>
  <c r="U338"/>
  <c r="U432"/>
  <c r="U440"/>
  <c r="S459"/>
  <c r="T462"/>
  <c r="T466"/>
  <c r="R476"/>
  <c r="V476" s="1"/>
  <c r="R480"/>
  <c r="V480" s="1"/>
  <c r="R484"/>
  <c r="V484" s="1"/>
  <c r="U491"/>
  <c r="S493"/>
  <c r="U505"/>
  <c r="S507"/>
  <c r="U509"/>
  <c r="S511"/>
  <c r="U513"/>
  <c r="S515"/>
  <c r="U517"/>
  <c r="S519"/>
  <c r="U521"/>
  <c r="S523"/>
  <c r="U525"/>
  <c r="S527"/>
  <c r="U531"/>
  <c r="S533"/>
  <c r="U535"/>
  <c r="T548"/>
  <c r="T552"/>
  <c r="S577"/>
  <c r="U579"/>
  <c r="S581"/>
  <c r="U583"/>
  <c r="S585"/>
  <c r="S623"/>
  <c r="U625"/>
  <c r="U670"/>
  <c r="S672"/>
  <c r="U674"/>
  <c r="S676"/>
  <c r="U678"/>
  <c r="S680"/>
  <c r="U712"/>
  <c r="T737"/>
  <c r="T747"/>
  <c r="S748"/>
  <c r="R753"/>
  <c r="V753" s="1"/>
  <c r="R759"/>
  <c r="V759" s="1"/>
  <c r="T771"/>
  <c r="U776"/>
  <c r="T777"/>
  <c r="S778"/>
  <c r="U780"/>
  <c r="T781"/>
  <c r="S782"/>
  <c r="S798"/>
  <c r="R801"/>
  <c r="V801" s="1"/>
  <c r="R805"/>
  <c r="V805" s="1"/>
  <c r="R809"/>
  <c r="V809" s="1"/>
  <c r="R815"/>
  <c r="V815" s="1"/>
  <c r="U820"/>
  <c r="T821"/>
  <c r="S822"/>
  <c r="R825"/>
  <c r="V825" s="1"/>
  <c r="U830"/>
  <c r="T831"/>
  <c r="S832"/>
  <c r="R835"/>
  <c r="V835" s="1"/>
  <c r="R839"/>
  <c r="V839" s="1"/>
  <c r="S848"/>
  <c r="U850"/>
  <c r="T851"/>
  <c r="S852"/>
  <c r="U854"/>
  <c r="T855"/>
  <c r="S856"/>
  <c r="U858"/>
  <c r="R875"/>
  <c r="V875" s="1"/>
  <c r="T881"/>
  <c r="R891"/>
  <c r="V891" s="1"/>
  <c r="R895"/>
  <c r="V895" s="1"/>
  <c r="R899"/>
  <c r="V899" s="1"/>
  <c r="U910"/>
  <c r="U918"/>
  <c r="R925"/>
  <c r="V925" s="1"/>
  <c r="R929"/>
  <c r="V929" s="1"/>
  <c r="R933"/>
  <c r="V933" s="1"/>
  <c r="R937"/>
  <c r="V937" s="1"/>
  <c r="S944"/>
  <c r="U946"/>
  <c r="T947"/>
  <c r="S948"/>
  <c r="U950"/>
  <c r="T951"/>
  <c r="R961"/>
  <c r="V961" s="1"/>
  <c r="R965"/>
  <c r="V965" s="1"/>
  <c r="R969"/>
  <c r="V969" s="1"/>
  <c r="R976"/>
  <c r="V976" s="1"/>
  <c r="T979"/>
  <c r="R981"/>
  <c r="V981" s="1"/>
  <c r="U982"/>
  <c r="T983"/>
  <c r="U988"/>
  <c r="T990"/>
  <c r="R992"/>
  <c r="V992" s="1"/>
  <c r="U993"/>
  <c r="T994"/>
  <c r="R996"/>
  <c r="V996" s="1"/>
  <c r="U997"/>
  <c r="R1000"/>
  <c r="V1000" s="1"/>
  <c r="U1001"/>
  <c r="T1003"/>
  <c r="R1005"/>
  <c r="V1005" s="1"/>
  <c r="U1006"/>
  <c r="T1007"/>
  <c r="R1009"/>
  <c r="V1009" s="1"/>
  <c r="U1010"/>
  <c r="T1011"/>
  <c r="R1013"/>
  <c r="V1013" s="1"/>
  <c r="R1019"/>
  <c r="V1019" s="1"/>
  <c r="U1020"/>
  <c r="T1021"/>
  <c r="R1023"/>
  <c r="V1023" s="1"/>
  <c r="U1024"/>
  <c r="T1025"/>
  <c r="R1027"/>
  <c r="V1027" s="1"/>
  <c r="U1032"/>
  <c r="U1034"/>
  <c r="T1035"/>
  <c r="T1039"/>
  <c r="R1041"/>
  <c r="V1041" s="1"/>
  <c r="R1043"/>
  <c r="V1043" s="1"/>
  <c r="U1044"/>
  <c r="T1045"/>
  <c r="R302"/>
  <c r="V302" s="1"/>
  <c r="R496"/>
  <c r="V496" s="1"/>
  <c r="U661"/>
  <c r="R749"/>
  <c r="V749" s="1"/>
  <c r="U752"/>
  <c r="T787"/>
  <c r="T791"/>
  <c r="T795"/>
  <c r="T845"/>
  <c r="T957"/>
  <c r="U976"/>
  <c r="S1003"/>
  <c r="U1005"/>
  <c r="T1006"/>
  <c r="S1007"/>
  <c r="U1009"/>
  <c r="T1010"/>
  <c r="S1011"/>
  <c r="U1013"/>
  <c r="R1028"/>
  <c r="V1028" s="1"/>
  <c r="T1032"/>
  <c r="R1036"/>
  <c r="V1036" s="1"/>
  <c r="R1042"/>
  <c r="V1042" s="1"/>
  <c r="R1046"/>
  <c r="V1046" s="1"/>
  <c r="R442"/>
  <c r="V442" s="1"/>
  <c r="R540"/>
  <c r="V540" s="1"/>
  <c r="U688"/>
  <c r="U706"/>
  <c r="T741"/>
  <c r="T745"/>
  <c r="S756"/>
  <c r="U758"/>
  <c r="S770"/>
  <c r="U774"/>
  <c r="R819"/>
  <c r="V819" s="1"/>
  <c r="R823"/>
  <c r="V823" s="1"/>
  <c r="T865"/>
  <c r="T869"/>
  <c r="T879"/>
  <c r="U886"/>
  <c r="S888"/>
  <c r="U890"/>
  <c r="U894"/>
  <c r="S985"/>
  <c r="S990"/>
  <c r="U992"/>
  <c r="T993"/>
  <c r="S994"/>
  <c r="U996"/>
  <c r="T997"/>
  <c r="U1002"/>
  <c r="S1015"/>
  <c r="U1019"/>
  <c r="T1020"/>
  <c r="S1021"/>
  <c r="U1023"/>
  <c r="T1024"/>
  <c r="S1025"/>
  <c r="U1027"/>
  <c r="S1039"/>
  <c r="U1041"/>
  <c r="T472"/>
  <c r="S690"/>
  <c r="R779"/>
  <c r="V779" s="1"/>
  <c r="R783"/>
  <c r="V783" s="1"/>
  <c r="U786"/>
  <c r="S788"/>
  <c r="U790"/>
  <c r="S792"/>
  <c r="U794"/>
  <c r="S796"/>
  <c r="R829"/>
  <c r="V829" s="1"/>
  <c r="U844"/>
  <c r="S846"/>
  <c r="R917"/>
  <c r="V917" s="1"/>
  <c r="R945"/>
  <c r="V945" s="1"/>
  <c r="R949"/>
  <c r="V949" s="1"/>
  <c r="U956"/>
  <c r="S958"/>
  <c r="S979"/>
  <c r="U981"/>
  <c r="T982"/>
  <c r="S983"/>
  <c r="U1000"/>
  <c r="T1001"/>
  <c r="S1029"/>
  <c r="S1037"/>
  <c r="S85"/>
  <c r="R434"/>
  <c r="V434" s="1"/>
  <c r="U589"/>
  <c r="U684"/>
  <c r="S736"/>
  <c r="U740"/>
  <c r="S742"/>
  <c r="U744"/>
  <c r="S746"/>
  <c r="T755"/>
  <c r="T775"/>
  <c r="U814"/>
  <c r="R849"/>
  <c r="V849" s="1"/>
  <c r="R853"/>
  <c r="V853" s="1"/>
  <c r="R857"/>
  <c r="V857" s="1"/>
  <c r="S860"/>
  <c r="U864"/>
  <c r="S866"/>
  <c r="U868"/>
  <c r="S870"/>
  <c r="U874"/>
  <c r="U878"/>
  <c r="S880"/>
  <c r="T887"/>
  <c r="R977"/>
  <c r="V977" s="1"/>
  <c r="R980"/>
  <c r="V980" s="1"/>
  <c r="R984"/>
  <c r="V984" s="1"/>
  <c r="U987"/>
  <c r="T988"/>
  <c r="R999"/>
  <c r="V999" s="1"/>
  <c r="R1014"/>
  <c r="V1014" s="1"/>
  <c r="U1017"/>
  <c r="U1033"/>
  <c r="T1034"/>
  <c r="S1035"/>
  <c r="U1043"/>
  <c r="T1044"/>
  <c r="S1045"/>
  <c r="R1040"/>
  <c r="V1040" s="1"/>
  <c r="R995"/>
  <c r="V995" s="1"/>
  <c r="U989"/>
  <c r="T978"/>
  <c r="R1022"/>
  <c r="V1022" s="1"/>
  <c r="U1012"/>
  <c r="T1008"/>
  <c r="S1004"/>
  <c r="R998"/>
  <c r="V998" s="1"/>
  <c r="S986"/>
  <c r="T975"/>
  <c r="S915"/>
  <c r="S911"/>
  <c r="R909"/>
  <c r="V909" s="1"/>
  <c r="U909"/>
  <c r="T905"/>
  <c r="S762"/>
  <c r="U762"/>
  <c r="T709"/>
  <c r="R575"/>
  <c r="V575" s="1"/>
  <c r="U575"/>
  <c r="S575"/>
  <c r="U1042"/>
  <c r="R1037"/>
  <c r="V1037" s="1"/>
  <c r="U1037"/>
  <c r="S1036"/>
  <c r="R1033"/>
  <c r="V1033" s="1"/>
  <c r="T1028"/>
  <c r="R987"/>
  <c r="V987" s="1"/>
  <c r="S941"/>
  <c r="U859"/>
  <c r="R859"/>
  <c r="V859" s="1"/>
  <c r="T828"/>
  <c r="U735"/>
  <c r="R735"/>
  <c r="V735" s="1"/>
  <c r="U862"/>
  <c r="T833"/>
  <c r="U1014"/>
  <c r="T999"/>
  <c r="U984"/>
  <c r="T980"/>
  <c r="R978"/>
  <c r="V978" s="1"/>
  <c r="U978"/>
  <c r="T955"/>
  <c r="T919"/>
  <c r="S884"/>
  <c r="U884"/>
  <c r="S818"/>
  <c r="U818"/>
  <c r="R1008"/>
  <c r="V1008" s="1"/>
  <c r="R975"/>
  <c r="V975" s="1"/>
  <c r="T909"/>
  <c r="T1040"/>
  <c r="S1026"/>
  <c r="U1018"/>
  <c r="S1002"/>
  <c r="S995"/>
  <c r="U943"/>
  <c r="R943"/>
  <c r="V943" s="1"/>
  <c r="R643"/>
  <c r="V643" s="1"/>
  <c r="R1026"/>
  <c r="V1026" s="1"/>
  <c r="R1031"/>
  <c r="V1031" s="1"/>
  <c r="S1016"/>
  <c r="T1012"/>
  <c r="S1008"/>
  <c r="T998"/>
  <c r="S975"/>
  <c r="S905"/>
  <c r="S709"/>
  <c r="T575"/>
  <c r="U1046"/>
  <c r="T1042"/>
  <c r="T1037"/>
  <c r="T1033"/>
  <c r="R1029"/>
  <c r="V1029" s="1"/>
  <c r="U1029"/>
  <c r="S1028"/>
  <c r="R1017"/>
  <c r="V1017" s="1"/>
  <c r="T987"/>
  <c r="T941"/>
  <c r="T859"/>
  <c r="S828"/>
  <c r="U828"/>
  <c r="R754"/>
  <c r="V754" s="1"/>
  <c r="U754"/>
  <c r="S754"/>
  <c r="T735"/>
  <c r="S824"/>
  <c r="U872"/>
  <c r="U708"/>
  <c r="T1014"/>
  <c r="S999"/>
  <c r="R989"/>
  <c r="V989" s="1"/>
  <c r="T984"/>
  <c r="S980"/>
  <c r="U977"/>
  <c r="S974"/>
  <c r="R955"/>
  <c r="V955" s="1"/>
  <c r="U955"/>
  <c r="S919"/>
  <c r="R755"/>
  <c r="V755" s="1"/>
  <c r="U755"/>
  <c r="R1012"/>
  <c r="V1012" s="1"/>
  <c r="S1040"/>
  <c r="U1022"/>
  <c r="T1018"/>
  <c r="U991"/>
  <c r="T943"/>
  <c r="R920"/>
  <c r="V920" s="1"/>
  <c r="U920"/>
  <c r="U769"/>
  <c r="R769"/>
  <c r="V769" s="1"/>
  <c r="U765"/>
  <c r="R765"/>
  <c r="V765" s="1"/>
  <c r="T643"/>
  <c r="U502"/>
  <c r="R502"/>
  <c r="V502" s="1"/>
  <c r="U498"/>
  <c r="R498"/>
  <c r="V498" s="1"/>
  <c r="T1031"/>
  <c r="S1012"/>
  <c r="U1004"/>
  <c r="S998"/>
  <c r="R986"/>
  <c r="V986" s="1"/>
  <c r="U986"/>
  <c r="U915"/>
  <c r="R915"/>
  <c r="V915" s="1"/>
  <c r="U911"/>
  <c r="R911"/>
  <c r="V911" s="1"/>
  <c r="S909"/>
  <c r="R762"/>
  <c r="V762" s="1"/>
  <c r="T1046"/>
  <c r="S1042"/>
  <c r="U1036"/>
  <c r="S1033"/>
  <c r="T1029"/>
  <c r="T1017"/>
  <c r="S987"/>
  <c r="R941"/>
  <c r="V941" s="1"/>
  <c r="U941"/>
  <c r="S859"/>
  <c r="T754"/>
  <c r="S735"/>
  <c r="U882"/>
  <c r="U738"/>
  <c r="R1015"/>
  <c r="V1015" s="1"/>
  <c r="U1015"/>
  <c r="S1014"/>
  <c r="T989"/>
  <c r="R985"/>
  <c r="V985" s="1"/>
  <c r="U985"/>
  <c r="S984"/>
  <c r="S978"/>
  <c r="T977"/>
  <c r="R884"/>
  <c r="V884" s="1"/>
  <c r="R818"/>
  <c r="V818" s="1"/>
  <c r="U922"/>
  <c r="U1026"/>
  <c r="T1022"/>
  <c r="S1018"/>
  <c r="R1002"/>
  <c r="V1002" s="1"/>
  <c r="U995"/>
  <c r="T991"/>
  <c r="S943"/>
  <c r="T920"/>
  <c r="T769"/>
  <c r="T765"/>
  <c r="S643"/>
  <c r="U643"/>
  <c r="T502"/>
  <c r="T498"/>
  <c r="R991"/>
  <c r="V991" s="1"/>
  <c r="U974"/>
  <c r="R1018"/>
  <c r="V1018" s="1"/>
  <c r="S920"/>
  <c r="S1031"/>
  <c r="R1016"/>
  <c r="V1016" s="1"/>
  <c r="U1016"/>
  <c r="U1008"/>
  <c r="T1004"/>
  <c r="U975"/>
  <c r="T915"/>
  <c r="T911"/>
  <c r="U905"/>
  <c r="R905"/>
  <c r="V905" s="1"/>
  <c r="T762"/>
  <c r="U709"/>
  <c r="R709"/>
  <c r="V709" s="1"/>
  <c r="S1046"/>
  <c r="T1036"/>
  <c r="U1028"/>
  <c r="S1017"/>
  <c r="R828"/>
  <c r="V828" s="1"/>
  <c r="S750"/>
  <c r="T1015"/>
  <c r="U999"/>
  <c r="S989"/>
  <c r="T985"/>
  <c r="U980"/>
  <c r="S977"/>
  <c r="T974"/>
  <c r="R974"/>
  <c r="V974" s="1"/>
  <c r="S955"/>
  <c r="U919"/>
  <c r="R919"/>
  <c r="V919" s="1"/>
  <c r="T884"/>
  <c r="T818"/>
  <c r="S755"/>
  <c r="R1004"/>
  <c r="V1004" s="1"/>
  <c r="U1040"/>
  <c r="T1026"/>
  <c r="S1022"/>
  <c r="T1002"/>
  <c r="T995"/>
  <c r="S991"/>
  <c r="S769"/>
  <c r="S765"/>
  <c r="S502"/>
  <c r="S498"/>
  <c r="U998"/>
  <c r="U772"/>
  <c r="T971"/>
  <c r="S959"/>
  <c r="R956"/>
  <c r="V956" s="1"/>
  <c r="U953"/>
  <c r="T935"/>
  <c r="S893"/>
  <c r="T886"/>
  <c r="S877"/>
  <c r="U867"/>
  <c r="T863"/>
  <c r="T860"/>
  <c r="R844"/>
  <c r="V844" s="1"/>
  <c r="T814"/>
  <c r="T797"/>
  <c r="S793"/>
  <c r="T786"/>
  <c r="T773"/>
  <c r="R771"/>
  <c r="V771" s="1"/>
  <c r="U771"/>
  <c r="U757"/>
  <c r="S752"/>
  <c r="R747"/>
  <c r="V747" s="1"/>
  <c r="U747"/>
  <c r="U739"/>
  <c r="T736"/>
  <c r="T949"/>
  <c r="S945"/>
  <c r="T910"/>
  <c r="T857"/>
  <c r="S853"/>
  <c r="U829"/>
  <c r="T823"/>
  <c r="S819"/>
  <c r="T783"/>
  <c r="S779"/>
  <c r="R776"/>
  <c r="V776" s="1"/>
  <c r="U749"/>
  <c r="S605"/>
  <c r="U605"/>
  <c r="T490"/>
  <c r="T448"/>
  <c r="U1025"/>
  <c r="S1005"/>
  <c r="S996"/>
  <c r="U990"/>
  <c r="S981"/>
  <c r="U406"/>
  <c r="U965"/>
  <c r="T961"/>
  <c r="U933"/>
  <c r="T929"/>
  <c r="S925"/>
  <c r="R922"/>
  <c r="V922" s="1"/>
  <c r="S903"/>
  <c r="T899"/>
  <c r="S895"/>
  <c r="T882"/>
  <c r="T875"/>
  <c r="R862"/>
  <c r="V862" s="1"/>
  <c r="S843"/>
  <c r="T839"/>
  <c r="S835"/>
  <c r="U825"/>
  <c r="R824"/>
  <c r="V824" s="1"/>
  <c r="U824"/>
  <c r="S815"/>
  <c r="U809"/>
  <c r="T805"/>
  <c r="S801"/>
  <c r="S772"/>
  <c r="S759"/>
  <c r="S751"/>
  <c r="R750"/>
  <c r="V750" s="1"/>
  <c r="U750"/>
  <c r="R724"/>
  <c r="V724" s="1"/>
  <c r="R545"/>
  <c r="V545" s="1"/>
  <c r="T405"/>
  <c r="R276"/>
  <c r="V276" s="1"/>
  <c r="R971"/>
  <c r="V971" s="1"/>
  <c r="T712"/>
  <c r="T705"/>
  <c r="S687"/>
  <c r="R684"/>
  <c r="V684" s="1"/>
  <c r="U681"/>
  <c r="T677"/>
  <c r="S673"/>
  <c r="R670"/>
  <c r="V670" s="1"/>
  <c r="T661"/>
  <c r="T624"/>
  <c r="U582"/>
  <c r="T578"/>
  <c r="U554"/>
  <c r="T550"/>
  <c r="U530"/>
  <c r="T524"/>
  <c r="S520"/>
  <c r="U512"/>
  <c r="T508"/>
  <c r="T491"/>
  <c r="T488"/>
  <c r="U464"/>
  <c r="S451"/>
  <c r="U451"/>
  <c r="U446"/>
  <c r="S446"/>
  <c r="T421"/>
  <c r="T417"/>
  <c r="S209"/>
  <c r="U209"/>
  <c r="T960"/>
  <c r="T944"/>
  <c r="U887"/>
  <c r="U811"/>
  <c r="U775"/>
  <c r="U745"/>
  <c r="T708"/>
  <c r="T701"/>
  <c r="S697"/>
  <c r="S691"/>
  <c r="T618"/>
  <c r="S614"/>
  <c r="U606"/>
  <c r="T540"/>
  <c r="U496"/>
  <c r="T484"/>
  <c r="S480"/>
  <c r="T473"/>
  <c r="S425"/>
  <c r="R364"/>
  <c r="V364" s="1"/>
  <c r="U731"/>
  <c r="T727"/>
  <c r="T726"/>
  <c r="U717"/>
  <c r="T713"/>
  <c r="T662"/>
  <c r="S626"/>
  <c r="U602"/>
  <c r="T598"/>
  <c r="S594"/>
  <c r="U574"/>
  <c r="S568"/>
  <c r="U560"/>
  <c r="T556"/>
  <c r="T487"/>
  <c r="T434"/>
  <c r="T386"/>
  <c r="U371"/>
  <c r="R371"/>
  <c r="V371" s="1"/>
  <c r="U367"/>
  <c r="R367"/>
  <c r="V367" s="1"/>
  <c r="S345"/>
  <c r="R345"/>
  <c r="V345" s="1"/>
  <c r="U345"/>
  <c r="S246"/>
  <c r="T926"/>
  <c r="T916"/>
  <c r="S855"/>
  <c r="S821"/>
  <c r="S817"/>
  <c r="S811"/>
  <c r="S807"/>
  <c r="R687"/>
  <c r="V687" s="1"/>
  <c r="R681"/>
  <c r="V681" s="1"/>
  <c r="R624"/>
  <c r="V624" s="1"/>
  <c r="R550"/>
  <c r="V550" s="1"/>
  <c r="R524"/>
  <c r="V524" s="1"/>
  <c r="R508"/>
  <c r="V508" s="1"/>
  <c r="U261"/>
  <c r="S457"/>
  <c r="T427"/>
  <c r="S359"/>
  <c r="S341"/>
  <c r="T323"/>
  <c r="S306"/>
  <c r="S294"/>
  <c r="S274"/>
  <c r="S186"/>
  <c r="R186"/>
  <c r="V186" s="1"/>
  <c r="U33"/>
  <c r="S33"/>
  <c r="R33"/>
  <c r="V33" s="1"/>
  <c r="U707"/>
  <c r="T563"/>
  <c r="T559"/>
  <c r="T539"/>
  <c r="T533"/>
  <c r="T527"/>
  <c r="T511"/>
  <c r="T493"/>
  <c r="U486"/>
  <c r="T475"/>
  <c r="R361"/>
  <c r="V361" s="1"/>
  <c r="U128"/>
  <c r="T456"/>
  <c r="T423"/>
  <c r="S385"/>
  <c r="T381"/>
  <c r="S377"/>
  <c r="U365"/>
  <c r="T355"/>
  <c r="S351"/>
  <c r="T338"/>
  <c r="R338"/>
  <c r="V338" s="1"/>
  <c r="S334"/>
  <c r="T330"/>
  <c r="R330"/>
  <c r="V330" s="1"/>
  <c r="S325"/>
  <c r="R325"/>
  <c r="V325" s="1"/>
  <c r="U682"/>
  <c r="S659"/>
  <c r="S647"/>
  <c r="S637"/>
  <c r="S615"/>
  <c r="S599"/>
  <c r="U571"/>
  <c r="U567"/>
  <c r="U543"/>
  <c r="S525"/>
  <c r="S521"/>
  <c r="S517"/>
  <c r="U501"/>
  <c r="U497"/>
  <c r="U493"/>
  <c r="U483"/>
  <c r="U475"/>
  <c r="U467"/>
  <c r="T449"/>
  <c r="T252"/>
  <c r="R449"/>
  <c r="V449" s="1"/>
  <c r="U449"/>
  <c r="S443"/>
  <c r="S435"/>
  <c r="S411"/>
  <c r="U361"/>
  <c r="S358"/>
  <c r="S339"/>
  <c r="T326"/>
  <c r="R326"/>
  <c r="V326" s="1"/>
  <c r="T321"/>
  <c r="S317"/>
  <c r="R317"/>
  <c r="V317" s="1"/>
  <c r="S302"/>
  <c r="T296"/>
  <c r="R296"/>
  <c r="V296" s="1"/>
  <c r="T206"/>
  <c r="S711"/>
  <c r="S666"/>
  <c r="T599"/>
  <c r="U311"/>
  <c r="U305"/>
  <c r="U277"/>
  <c r="U270"/>
  <c r="T266"/>
  <c r="U224"/>
  <c r="T218"/>
  <c r="S214"/>
  <c r="R211"/>
  <c r="V211" s="1"/>
  <c r="T189"/>
  <c r="R189"/>
  <c r="V189" s="1"/>
  <c r="R166"/>
  <c r="V166" s="1"/>
  <c r="U148"/>
  <c r="U455"/>
  <c r="T416"/>
  <c r="T404"/>
  <c r="T400"/>
  <c r="U395"/>
  <c r="T372"/>
  <c r="U363"/>
  <c r="T350"/>
  <c r="T335"/>
  <c r="T327"/>
  <c r="S313"/>
  <c r="R242"/>
  <c r="V242" s="1"/>
  <c r="U114"/>
  <c r="S335"/>
  <c r="S327"/>
  <c r="U313"/>
  <c r="T299"/>
  <c r="T249"/>
  <c r="S204"/>
  <c r="U196"/>
  <c r="T192"/>
  <c r="R165"/>
  <c r="V165" s="1"/>
  <c r="S164"/>
  <c r="S141"/>
  <c r="R139"/>
  <c r="V139" s="1"/>
  <c r="S73"/>
  <c r="S444"/>
  <c r="U420"/>
  <c r="U416"/>
  <c r="T292"/>
  <c r="T284"/>
  <c r="U264"/>
  <c r="S261"/>
  <c r="S258"/>
  <c r="S252"/>
  <c r="T242"/>
  <c r="S238"/>
  <c r="U230"/>
  <c r="S223"/>
  <c r="R208"/>
  <c r="V208" s="1"/>
  <c r="U208"/>
  <c r="R94"/>
  <c r="V94" s="1"/>
  <c r="U72"/>
  <c r="T39"/>
  <c r="S176"/>
  <c r="S168"/>
  <c r="S150"/>
  <c r="S149"/>
  <c r="S134"/>
  <c r="U130"/>
  <c r="R130"/>
  <c r="V130" s="1"/>
  <c r="R126"/>
  <c r="V126" s="1"/>
  <c r="T106"/>
  <c r="U106"/>
  <c r="S78"/>
  <c r="T259"/>
  <c r="T245"/>
  <c r="T227"/>
  <c r="T207"/>
  <c r="R184"/>
  <c r="V184" s="1"/>
  <c r="R179"/>
  <c r="V179" s="1"/>
  <c r="R171"/>
  <c r="V171" s="1"/>
  <c r="R162"/>
  <c r="V162" s="1"/>
  <c r="U154"/>
  <c r="S190"/>
  <c r="R127"/>
  <c r="V127" s="1"/>
  <c r="U127"/>
  <c r="U124"/>
  <c r="S55"/>
  <c r="R55"/>
  <c r="V55" s="1"/>
  <c r="S307"/>
  <c r="S297"/>
  <c r="S285"/>
  <c r="S275"/>
  <c r="U269"/>
  <c r="S265"/>
  <c r="U259"/>
  <c r="S255"/>
  <c r="U251"/>
  <c r="S243"/>
  <c r="S239"/>
  <c r="S235"/>
  <c r="S231"/>
  <c r="U227"/>
  <c r="U221"/>
  <c r="U217"/>
  <c r="U213"/>
  <c r="S205"/>
  <c r="S201"/>
  <c r="S197"/>
  <c r="S193"/>
  <c r="S183"/>
  <c r="S167"/>
  <c r="R157"/>
  <c r="V157" s="1"/>
  <c r="R92"/>
  <c r="V92" s="1"/>
  <c r="S46"/>
  <c r="U184"/>
  <c r="T171"/>
  <c r="S154"/>
  <c r="S153"/>
  <c r="T117"/>
  <c r="T114"/>
  <c r="R114"/>
  <c r="V114" s="1"/>
  <c r="S102"/>
  <c r="T96"/>
  <c r="U96"/>
  <c r="S64"/>
  <c r="T28"/>
  <c r="R28"/>
  <c r="V28" s="1"/>
  <c r="S26"/>
  <c r="R11"/>
  <c r="V11" s="1"/>
  <c r="U109"/>
  <c r="U101"/>
  <c r="U75"/>
  <c r="T48"/>
  <c r="S37"/>
  <c r="S31"/>
  <c r="T31"/>
  <c r="U14"/>
  <c r="R137"/>
  <c r="V137" s="1"/>
  <c r="S131"/>
  <c r="T131"/>
  <c r="S82"/>
  <c r="S60"/>
  <c r="U53"/>
  <c r="U35"/>
  <c r="U25"/>
  <c r="T17"/>
  <c r="R17"/>
  <c r="V17" s="1"/>
  <c r="S5"/>
  <c r="U5"/>
  <c r="R135"/>
  <c r="V135" s="1"/>
  <c r="S122"/>
  <c r="T112"/>
  <c r="U81"/>
  <c r="S57"/>
  <c r="T34"/>
  <c r="T11"/>
  <c r="S11"/>
  <c r="S65"/>
  <c r="U45"/>
  <c r="T12"/>
  <c r="U116"/>
  <c r="U104"/>
  <c r="U84"/>
  <c r="S76"/>
  <c r="S47"/>
  <c r="S32"/>
  <c r="S49"/>
  <c r="T32"/>
  <c r="S18"/>
  <c r="U8"/>
  <c r="U3"/>
  <c r="U1031"/>
  <c r="S784"/>
  <c r="S971"/>
  <c r="T956"/>
  <c r="T953"/>
  <c r="S935"/>
  <c r="U889"/>
  <c r="S886"/>
  <c r="R881"/>
  <c r="V881" s="1"/>
  <c r="U881"/>
  <c r="U873"/>
  <c r="T867"/>
  <c r="S863"/>
  <c r="T844"/>
  <c r="S814"/>
  <c r="S797"/>
  <c r="U789"/>
  <c r="S786"/>
  <c r="S773"/>
  <c r="T757"/>
  <c r="U743"/>
  <c r="T739"/>
  <c r="R737"/>
  <c r="V737" s="1"/>
  <c r="U737"/>
  <c r="S683"/>
  <c r="S630"/>
  <c r="S588"/>
  <c r="U407"/>
  <c r="R407"/>
  <c r="V407" s="1"/>
  <c r="S949"/>
  <c r="U917"/>
  <c r="S910"/>
  <c r="S857"/>
  <c r="U849"/>
  <c r="T829"/>
  <c r="S823"/>
  <c r="S799"/>
  <c r="R798"/>
  <c r="V798" s="1"/>
  <c r="U798"/>
  <c r="S783"/>
  <c r="T776"/>
  <c r="T749"/>
  <c r="R490"/>
  <c r="V490" s="1"/>
  <c r="U490"/>
  <c r="S1043"/>
  <c r="U1035"/>
  <c r="S1019"/>
  <c r="S1009"/>
  <c r="U1003"/>
  <c r="U994"/>
  <c r="U979"/>
  <c r="T691"/>
  <c r="U473"/>
  <c r="U969"/>
  <c r="T965"/>
  <c r="S961"/>
  <c r="R952"/>
  <c r="V952" s="1"/>
  <c r="U937"/>
  <c r="T933"/>
  <c r="S929"/>
  <c r="T922"/>
  <c r="S899"/>
  <c r="U891"/>
  <c r="S882"/>
  <c r="S875"/>
  <c r="R872"/>
  <c r="V872" s="1"/>
  <c r="T862"/>
  <c r="S839"/>
  <c r="S833"/>
  <c r="T825"/>
  <c r="T824"/>
  <c r="S813"/>
  <c r="T809"/>
  <c r="S805"/>
  <c r="S785"/>
  <c r="R784"/>
  <c r="V784" s="1"/>
  <c r="U784"/>
  <c r="U753"/>
  <c r="T750"/>
  <c r="R738"/>
  <c r="V738" s="1"/>
  <c r="T724"/>
  <c r="U664"/>
  <c r="R664"/>
  <c r="V664" s="1"/>
  <c r="U658"/>
  <c r="R658"/>
  <c r="V658" s="1"/>
  <c r="U654"/>
  <c r="R654"/>
  <c r="V654" s="1"/>
  <c r="U650"/>
  <c r="R650"/>
  <c r="V650" s="1"/>
  <c r="U646"/>
  <c r="R646"/>
  <c r="V646" s="1"/>
  <c r="U640"/>
  <c r="R640"/>
  <c r="V640" s="1"/>
  <c r="U636"/>
  <c r="R636"/>
  <c r="V636" s="1"/>
  <c r="U632"/>
  <c r="R632"/>
  <c r="V632" s="1"/>
  <c r="S620"/>
  <c r="T545"/>
  <c r="S405"/>
  <c r="U401"/>
  <c r="R401"/>
  <c r="V401" s="1"/>
  <c r="U397"/>
  <c r="R397"/>
  <c r="V397" s="1"/>
  <c r="U393"/>
  <c r="R393"/>
  <c r="V393" s="1"/>
  <c r="U389"/>
  <c r="R389"/>
  <c r="V389" s="1"/>
  <c r="T276"/>
  <c r="U276"/>
  <c r="T1041"/>
  <c r="T1023"/>
  <c r="T1013"/>
  <c r="T1005"/>
  <c r="T996"/>
  <c r="T981"/>
  <c r="R889"/>
  <c r="V889" s="1"/>
  <c r="R877"/>
  <c r="V877" s="1"/>
  <c r="R863"/>
  <c r="V863" s="1"/>
  <c r="R789"/>
  <c r="V789" s="1"/>
  <c r="S712"/>
  <c r="S705"/>
  <c r="T684"/>
  <c r="T681"/>
  <c r="S677"/>
  <c r="T670"/>
  <c r="S661"/>
  <c r="S624"/>
  <c r="R589"/>
  <c r="V589" s="1"/>
  <c r="U586"/>
  <c r="T582"/>
  <c r="S578"/>
  <c r="R573"/>
  <c r="V573" s="1"/>
  <c r="U558"/>
  <c r="T554"/>
  <c r="S550"/>
  <c r="R547"/>
  <c r="V547" s="1"/>
  <c r="U534"/>
  <c r="T530"/>
  <c r="S524"/>
  <c r="U516"/>
  <c r="T512"/>
  <c r="S508"/>
  <c r="R505"/>
  <c r="V505" s="1"/>
  <c r="S494"/>
  <c r="S491"/>
  <c r="S488"/>
  <c r="R471"/>
  <c r="V471" s="1"/>
  <c r="U468"/>
  <c r="T464"/>
  <c r="T446"/>
  <c r="U438"/>
  <c r="S438"/>
  <c r="S421"/>
  <c r="S417"/>
  <c r="S314"/>
  <c r="T972"/>
  <c r="T958"/>
  <c r="T942"/>
  <c r="U897"/>
  <c r="U885"/>
  <c r="U807"/>
  <c r="U803"/>
  <c r="U795"/>
  <c r="U787"/>
  <c r="U767"/>
  <c r="U741"/>
  <c r="U326"/>
  <c r="U725"/>
  <c r="S708"/>
  <c r="S701"/>
  <c r="U693"/>
  <c r="S618"/>
  <c r="U610"/>
  <c r="T606"/>
  <c r="S540"/>
  <c r="R537"/>
  <c r="V537" s="1"/>
  <c r="S528"/>
  <c r="T496"/>
  <c r="S484"/>
  <c r="U476"/>
  <c r="S473"/>
  <c r="R450"/>
  <c r="V450" s="1"/>
  <c r="U450"/>
  <c r="U383"/>
  <c r="R383"/>
  <c r="V383" s="1"/>
  <c r="T364"/>
  <c r="S295"/>
  <c r="T295"/>
  <c r="U968"/>
  <c r="U964"/>
  <c r="U960"/>
  <c r="U954"/>
  <c r="U948"/>
  <c r="U944"/>
  <c r="U940"/>
  <c r="S934"/>
  <c r="S926"/>
  <c r="T409"/>
  <c r="T731"/>
  <c r="S727"/>
  <c r="U721"/>
  <c r="T717"/>
  <c r="S713"/>
  <c r="R704"/>
  <c r="V704" s="1"/>
  <c r="U685"/>
  <c r="R663"/>
  <c r="V663" s="1"/>
  <c r="U663"/>
  <c r="S662"/>
  <c r="T602"/>
  <c r="S598"/>
  <c r="U590"/>
  <c r="T574"/>
  <c r="R572"/>
  <c r="V572" s="1"/>
  <c r="U572"/>
  <c r="U564"/>
  <c r="T560"/>
  <c r="S556"/>
  <c r="R529"/>
  <c r="V529" s="1"/>
  <c r="U506"/>
  <c r="S487"/>
  <c r="R470"/>
  <c r="V470" s="1"/>
  <c r="U470"/>
  <c r="S386"/>
  <c r="U386"/>
  <c r="T371"/>
  <c r="T367"/>
  <c r="T246"/>
  <c r="S897"/>
  <c r="S885"/>
  <c r="T850"/>
  <c r="T840"/>
  <c r="T794"/>
  <c r="T790"/>
  <c r="S781"/>
  <c r="S777"/>
  <c r="T774"/>
  <c r="T766"/>
  <c r="S761"/>
  <c r="T758"/>
  <c r="T744"/>
  <c r="T740"/>
  <c r="R705"/>
  <c r="V705" s="1"/>
  <c r="R578"/>
  <c r="V578" s="1"/>
  <c r="R554"/>
  <c r="V554" s="1"/>
  <c r="R512"/>
  <c r="V512" s="1"/>
  <c r="T339"/>
  <c r="T461"/>
  <c r="T453"/>
  <c r="S427"/>
  <c r="T342"/>
  <c r="R342"/>
  <c r="V342" s="1"/>
  <c r="S337"/>
  <c r="R337"/>
  <c r="V337" s="1"/>
  <c r="U319"/>
  <c r="R319"/>
  <c r="V319" s="1"/>
  <c r="R294"/>
  <c r="V294" s="1"/>
  <c r="U294"/>
  <c r="U287"/>
  <c r="S287"/>
  <c r="T186"/>
  <c r="T700"/>
  <c r="U671"/>
  <c r="T553"/>
  <c r="T523"/>
  <c r="T507"/>
  <c r="T501"/>
  <c r="U492"/>
  <c r="T479"/>
  <c r="U474"/>
  <c r="T469"/>
  <c r="T463"/>
  <c r="T208"/>
  <c r="U460"/>
  <c r="U452"/>
  <c r="S423"/>
  <c r="R406"/>
  <c r="V406" s="1"/>
  <c r="U387"/>
  <c r="S381"/>
  <c r="U373"/>
  <c r="T365"/>
  <c r="S355"/>
  <c r="U347"/>
  <c r="T329"/>
  <c r="T188"/>
  <c r="T152"/>
  <c r="S698"/>
  <c r="S633"/>
  <c r="S611"/>
  <c r="U581"/>
  <c r="U563"/>
  <c r="U553"/>
  <c r="U539"/>
  <c r="U533"/>
  <c r="S509"/>
  <c r="T447"/>
  <c r="T439"/>
  <c r="T431"/>
  <c r="R415"/>
  <c r="V415" s="1"/>
  <c r="U415"/>
  <c r="S409"/>
  <c r="T361"/>
  <c r="S296"/>
  <c r="U296"/>
  <c r="U291"/>
  <c r="S291"/>
  <c r="S206"/>
  <c r="S733"/>
  <c r="T702"/>
  <c r="T659"/>
  <c r="T651"/>
  <c r="T647"/>
  <c r="S638"/>
  <c r="T633"/>
  <c r="S616"/>
  <c r="S612"/>
  <c r="S608"/>
  <c r="S604"/>
  <c r="T311"/>
  <c r="T305"/>
  <c r="T277"/>
  <c r="T270"/>
  <c r="S266"/>
  <c r="R247"/>
  <c r="V247" s="1"/>
  <c r="U228"/>
  <c r="T224"/>
  <c r="S218"/>
  <c r="T211"/>
  <c r="T426"/>
  <c r="T414"/>
  <c r="U399"/>
  <c r="T384"/>
  <c r="T376"/>
  <c r="T370"/>
  <c r="T354"/>
  <c r="U349"/>
  <c r="S340"/>
  <c r="S328"/>
  <c r="T315"/>
  <c r="R230"/>
  <c r="V230" s="1"/>
  <c r="T344"/>
  <c r="U333"/>
  <c r="T324"/>
  <c r="S260"/>
  <c r="S249"/>
  <c r="R222"/>
  <c r="V222" s="1"/>
  <c r="U222"/>
  <c r="U200"/>
  <c r="T196"/>
  <c r="S192"/>
  <c r="U164"/>
  <c r="T73"/>
  <c r="U426"/>
  <c r="U408"/>
  <c r="U400"/>
  <c r="U392"/>
  <c r="U380"/>
  <c r="U372"/>
  <c r="U360"/>
  <c r="U350"/>
  <c r="U132"/>
  <c r="S292"/>
  <c r="S284"/>
  <c r="T264"/>
  <c r="U254"/>
  <c r="S242"/>
  <c r="U234"/>
  <c r="T230"/>
  <c r="T94"/>
  <c r="U94"/>
  <c r="T72"/>
  <c r="R72"/>
  <c r="V72" s="1"/>
  <c r="U39"/>
  <c r="U182"/>
  <c r="U174"/>
  <c r="T161"/>
  <c r="T157"/>
  <c r="T147"/>
  <c r="S146"/>
  <c r="S106"/>
  <c r="T100"/>
  <c r="U100"/>
  <c r="T78"/>
  <c r="T257"/>
  <c r="T241"/>
  <c r="T221"/>
  <c r="T203"/>
  <c r="U156"/>
  <c r="S127"/>
  <c r="T125"/>
  <c r="R124"/>
  <c r="V124" s="1"/>
  <c r="U111"/>
  <c r="S111"/>
  <c r="R77"/>
  <c r="V77" s="1"/>
  <c r="T77"/>
  <c r="U54"/>
  <c r="S184"/>
  <c r="S179"/>
  <c r="T150"/>
  <c r="S147"/>
  <c r="R100"/>
  <c r="V100" s="1"/>
  <c r="T183"/>
  <c r="T167"/>
  <c r="T143"/>
  <c r="U140"/>
  <c r="T132"/>
  <c r="S128"/>
  <c r="R128"/>
  <c r="V128" s="1"/>
  <c r="S114"/>
  <c r="T110"/>
  <c r="S96"/>
  <c r="T88"/>
  <c r="U88"/>
  <c r="S29"/>
  <c r="S27"/>
  <c r="R27"/>
  <c r="V27" s="1"/>
  <c r="R9"/>
  <c r="V9" s="1"/>
  <c r="S9"/>
  <c r="S35"/>
  <c r="S138"/>
  <c r="T109"/>
  <c r="T101"/>
  <c r="S14"/>
  <c r="S142"/>
  <c r="T68"/>
  <c r="R68"/>
  <c r="V68" s="1"/>
  <c r="T59"/>
  <c r="R46"/>
  <c r="V46" s="1"/>
  <c r="S135"/>
  <c r="U120"/>
  <c r="S112"/>
  <c r="T81"/>
  <c r="R52"/>
  <c r="V52" s="1"/>
  <c r="T41"/>
  <c r="T14"/>
  <c r="U71"/>
  <c r="U63"/>
  <c r="T21"/>
  <c r="R21"/>
  <c r="V21" s="1"/>
  <c r="T49"/>
  <c r="S36"/>
  <c r="T76"/>
  <c r="U47"/>
  <c r="U16"/>
  <c r="T22"/>
  <c r="S4"/>
  <c r="T1016"/>
  <c r="T986"/>
  <c r="U959"/>
  <c r="S956"/>
  <c r="S953"/>
  <c r="U893"/>
  <c r="T889"/>
  <c r="U877"/>
  <c r="T873"/>
  <c r="S867"/>
  <c r="S844"/>
  <c r="U793"/>
  <c r="T789"/>
  <c r="S771"/>
  <c r="R770"/>
  <c r="V770" s="1"/>
  <c r="U770"/>
  <c r="S757"/>
  <c r="R752"/>
  <c r="V752" s="1"/>
  <c r="S747"/>
  <c r="T743"/>
  <c r="S739"/>
  <c r="T683"/>
  <c r="T630"/>
  <c r="T588"/>
  <c r="T407"/>
  <c r="U945"/>
  <c r="T917"/>
  <c r="U853"/>
  <c r="T849"/>
  <c r="S829"/>
  <c r="U819"/>
  <c r="T798"/>
  <c r="U779"/>
  <c r="S776"/>
  <c r="S749"/>
  <c r="R605"/>
  <c r="V605" s="1"/>
  <c r="R448"/>
  <c r="V448" s="1"/>
  <c r="S1041"/>
  <c r="S1023"/>
  <c r="S1013"/>
  <c r="U1007"/>
  <c r="U983"/>
  <c r="T969"/>
  <c r="S965"/>
  <c r="T952"/>
  <c r="T937"/>
  <c r="S933"/>
  <c r="U925"/>
  <c r="S922"/>
  <c r="R903"/>
  <c r="V903" s="1"/>
  <c r="U903"/>
  <c r="U895"/>
  <c r="T891"/>
  <c r="T872"/>
  <c r="S862"/>
  <c r="R843"/>
  <c r="V843" s="1"/>
  <c r="U843"/>
  <c r="U835"/>
  <c r="S825"/>
  <c r="U815"/>
  <c r="S809"/>
  <c r="U801"/>
  <c r="T784"/>
  <c r="R772"/>
  <c r="V772" s="1"/>
  <c r="U759"/>
  <c r="T753"/>
  <c r="R751"/>
  <c r="V751" s="1"/>
  <c r="U751"/>
  <c r="T738"/>
  <c r="S724"/>
  <c r="U724"/>
  <c r="T664"/>
  <c r="T658"/>
  <c r="T654"/>
  <c r="T650"/>
  <c r="T646"/>
  <c r="T640"/>
  <c r="T636"/>
  <c r="T632"/>
  <c r="T620"/>
  <c r="S545"/>
  <c r="U545"/>
  <c r="T401"/>
  <c r="T397"/>
  <c r="T393"/>
  <c r="T389"/>
  <c r="S276"/>
  <c r="R959"/>
  <c r="V959" s="1"/>
  <c r="R893"/>
  <c r="V893" s="1"/>
  <c r="R867"/>
  <c r="V867" s="1"/>
  <c r="R793"/>
  <c r="V793" s="1"/>
  <c r="R757"/>
  <c r="V757" s="1"/>
  <c r="R739"/>
  <c r="V739" s="1"/>
  <c r="T528"/>
  <c r="U687"/>
  <c r="S684"/>
  <c r="S681"/>
  <c r="U673"/>
  <c r="S670"/>
  <c r="T589"/>
  <c r="T586"/>
  <c r="S582"/>
  <c r="T573"/>
  <c r="T558"/>
  <c r="S554"/>
  <c r="T547"/>
  <c r="T534"/>
  <c r="S530"/>
  <c r="U520"/>
  <c r="T516"/>
  <c r="S512"/>
  <c r="T505"/>
  <c r="T471"/>
  <c r="T468"/>
  <c r="S464"/>
  <c r="T438"/>
  <c r="U430"/>
  <c r="S430"/>
  <c r="R209"/>
  <c r="V209" s="1"/>
  <c r="T968"/>
  <c r="T954"/>
  <c r="T940"/>
  <c r="U901"/>
  <c r="T888"/>
  <c r="U791"/>
  <c r="U781"/>
  <c r="U763"/>
  <c r="R329"/>
  <c r="V329" s="1"/>
  <c r="T725"/>
  <c r="U697"/>
  <c r="T693"/>
  <c r="R691"/>
  <c r="V691" s="1"/>
  <c r="U691"/>
  <c r="U614"/>
  <c r="T610"/>
  <c r="S606"/>
  <c r="T537"/>
  <c r="S496"/>
  <c r="U480"/>
  <c r="T476"/>
  <c r="R425"/>
  <c r="V425" s="1"/>
  <c r="U425"/>
  <c r="T383"/>
  <c r="S364"/>
  <c r="U364"/>
  <c r="S930"/>
  <c r="S918"/>
  <c r="S731"/>
  <c r="T721"/>
  <c r="S717"/>
  <c r="T704"/>
  <c r="T685"/>
  <c r="T663"/>
  <c r="U626"/>
  <c r="R619"/>
  <c r="V619" s="1"/>
  <c r="U619"/>
  <c r="S602"/>
  <c r="U594"/>
  <c r="T590"/>
  <c r="S574"/>
  <c r="U568"/>
  <c r="T564"/>
  <c r="S560"/>
  <c r="T529"/>
  <c r="T506"/>
  <c r="U442"/>
  <c r="S442"/>
  <c r="S371"/>
  <c r="S367"/>
  <c r="T345"/>
  <c r="R246"/>
  <c r="V246" s="1"/>
  <c r="U246"/>
  <c r="T934"/>
  <c r="T918"/>
  <c r="S907"/>
  <c r="S879"/>
  <c r="T858"/>
  <c r="T820"/>
  <c r="T816"/>
  <c r="T810"/>
  <c r="S803"/>
  <c r="R673"/>
  <c r="V673" s="1"/>
  <c r="R582"/>
  <c r="V582" s="1"/>
  <c r="R530"/>
  <c r="V530" s="1"/>
  <c r="R516"/>
  <c r="V516" s="1"/>
  <c r="R488"/>
  <c r="V488" s="1"/>
  <c r="R464"/>
  <c r="V464" s="1"/>
  <c r="S461"/>
  <c r="S453"/>
  <c r="U359"/>
  <c r="T341"/>
  <c r="U323"/>
  <c r="T294"/>
  <c r="T287"/>
  <c r="U279"/>
  <c r="S279"/>
  <c r="T33"/>
  <c r="U715"/>
  <c r="T696"/>
  <c r="T571"/>
  <c r="T549"/>
  <c r="T519"/>
  <c r="T497"/>
  <c r="T483"/>
  <c r="U478"/>
  <c r="T467"/>
  <c r="S449"/>
  <c r="R411"/>
  <c r="V411" s="1"/>
  <c r="U223"/>
  <c r="T460"/>
  <c r="T452"/>
  <c r="T406"/>
  <c r="T387"/>
  <c r="R385"/>
  <c r="V385" s="1"/>
  <c r="U385"/>
  <c r="U377"/>
  <c r="T373"/>
  <c r="S365"/>
  <c r="U351"/>
  <c r="T347"/>
  <c r="S338"/>
  <c r="T334"/>
  <c r="R334"/>
  <c r="V334" s="1"/>
  <c r="S330"/>
  <c r="U329"/>
  <c r="T325"/>
  <c r="U293"/>
  <c r="S293"/>
  <c r="R152"/>
  <c r="V152" s="1"/>
  <c r="S728"/>
  <c r="S688"/>
  <c r="U680"/>
  <c r="U631"/>
  <c r="S607"/>
  <c r="S569"/>
  <c r="U559"/>
  <c r="U549"/>
  <c r="U527"/>
  <c r="U523"/>
  <c r="U519"/>
  <c r="U515"/>
  <c r="S499"/>
  <c r="U495"/>
  <c r="U489"/>
  <c r="U479"/>
  <c r="U469"/>
  <c r="U463"/>
  <c r="S25"/>
  <c r="S447"/>
  <c r="S439"/>
  <c r="S431"/>
  <c r="U411"/>
  <c r="S361"/>
  <c r="R358"/>
  <c r="V358" s="1"/>
  <c r="U339"/>
  <c r="R339"/>
  <c r="V339" s="1"/>
  <c r="S326"/>
  <c r="S321"/>
  <c r="R321"/>
  <c r="V321" s="1"/>
  <c r="T317"/>
  <c r="T310"/>
  <c r="U310"/>
  <c r="T291"/>
  <c r="U283"/>
  <c r="S283"/>
  <c r="S723"/>
  <c r="S715"/>
  <c r="S707"/>
  <c r="T688"/>
  <c r="U309"/>
  <c r="U301"/>
  <c r="U273"/>
  <c r="S270"/>
  <c r="T247"/>
  <c r="T228"/>
  <c r="S224"/>
  <c r="U214"/>
  <c r="S211"/>
  <c r="S189"/>
  <c r="U166"/>
  <c r="R148"/>
  <c r="V148" s="1"/>
  <c r="T424"/>
  <c r="T410"/>
  <c r="T392"/>
  <c r="T380"/>
  <c r="U375"/>
  <c r="U369"/>
  <c r="T360"/>
  <c r="U353"/>
  <c r="T343"/>
  <c r="T331"/>
  <c r="S320"/>
  <c r="R264"/>
  <c r="V264" s="1"/>
  <c r="R254"/>
  <c r="V254" s="1"/>
  <c r="R234"/>
  <c r="V234" s="1"/>
  <c r="S143"/>
  <c r="S343"/>
  <c r="S331"/>
  <c r="T320"/>
  <c r="R300"/>
  <c r="V300" s="1"/>
  <c r="U300"/>
  <c r="U204"/>
  <c r="T200"/>
  <c r="S196"/>
  <c r="T165"/>
  <c r="R164"/>
  <c r="V164" s="1"/>
  <c r="T141"/>
  <c r="T139"/>
  <c r="S139"/>
  <c r="U73"/>
  <c r="R73"/>
  <c r="V73" s="1"/>
  <c r="S440"/>
  <c r="S418"/>
  <c r="U414"/>
  <c r="T288"/>
  <c r="T280"/>
  <c r="S264"/>
  <c r="R261"/>
  <c r="V261" s="1"/>
  <c r="U258"/>
  <c r="T254"/>
  <c r="R252"/>
  <c r="V252" s="1"/>
  <c r="U252"/>
  <c r="U238"/>
  <c r="T234"/>
  <c r="S230"/>
  <c r="R223"/>
  <c r="V223" s="1"/>
  <c r="S208"/>
  <c r="S94"/>
  <c r="S140"/>
  <c r="S180"/>
  <c r="S172"/>
  <c r="S158"/>
  <c r="T149"/>
  <c r="U134"/>
  <c r="R134"/>
  <c r="V134" s="1"/>
  <c r="S130"/>
  <c r="U126"/>
  <c r="S100"/>
  <c r="T92"/>
  <c r="U92"/>
  <c r="R78"/>
  <c r="V78" s="1"/>
  <c r="U78"/>
  <c r="T269"/>
  <c r="T253"/>
  <c r="T237"/>
  <c r="T217"/>
  <c r="T199"/>
  <c r="R183"/>
  <c r="V183" s="1"/>
  <c r="R175"/>
  <c r="V175" s="1"/>
  <c r="R167"/>
  <c r="V167" s="1"/>
  <c r="R160"/>
  <c r="V160" s="1"/>
  <c r="U153"/>
  <c r="U125"/>
  <c r="T111"/>
  <c r="T90"/>
  <c r="U90"/>
  <c r="T55"/>
  <c r="R54"/>
  <c r="V54" s="1"/>
  <c r="S303"/>
  <c r="S289"/>
  <c r="S281"/>
  <c r="S271"/>
  <c r="S267"/>
  <c r="U263"/>
  <c r="U257"/>
  <c r="U253"/>
  <c r="U245"/>
  <c r="U241"/>
  <c r="U237"/>
  <c r="U233"/>
  <c r="S229"/>
  <c r="S225"/>
  <c r="S219"/>
  <c r="S215"/>
  <c r="U207"/>
  <c r="U203"/>
  <c r="U199"/>
  <c r="U195"/>
  <c r="S175"/>
  <c r="T158"/>
  <c r="R106"/>
  <c r="V106" s="1"/>
  <c r="T179"/>
  <c r="S162"/>
  <c r="T153"/>
  <c r="T140"/>
  <c r="S88"/>
  <c r="T64"/>
  <c r="R64"/>
  <c r="V64" s="1"/>
  <c r="S28"/>
  <c r="U26"/>
  <c r="S53"/>
  <c r="U136"/>
  <c r="U105"/>
  <c r="U99"/>
  <c r="R75"/>
  <c r="V75" s="1"/>
  <c r="R48"/>
  <c r="V48" s="1"/>
  <c r="R37"/>
  <c r="V37" s="1"/>
  <c r="U31"/>
  <c r="T144"/>
  <c r="R120"/>
  <c r="V120" s="1"/>
  <c r="S144"/>
  <c r="R86"/>
  <c r="V86" s="1"/>
  <c r="U86"/>
  <c r="T60"/>
  <c r="R60"/>
  <c r="V60" s="1"/>
  <c r="R53"/>
  <c r="V53" s="1"/>
  <c r="R35"/>
  <c r="V35" s="1"/>
  <c r="R25"/>
  <c r="V25" s="1"/>
  <c r="S17"/>
  <c r="S137"/>
  <c r="T137"/>
  <c r="T118"/>
  <c r="U85"/>
  <c r="U57"/>
  <c r="R57"/>
  <c r="V57" s="1"/>
  <c r="R34"/>
  <c r="V34" s="1"/>
  <c r="U11"/>
  <c r="S69"/>
  <c r="S61"/>
  <c r="U12"/>
  <c r="S12"/>
  <c r="U108"/>
  <c r="U98"/>
  <c r="U80"/>
  <c r="S51"/>
  <c r="S40"/>
  <c r="T40"/>
  <c r="R30"/>
  <c r="V30" s="1"/>
  <c r="U4"/>
  <c r="U952"/>
  <c r="U971"/>
  <c r="T959"/>
  <c r="U935"/>
  <c r="T893"/>
  <c r="S889"/>
  <c r="R886"/>
  <c r="V886" s="1"/>
  <c r="S881"/>
  <c r="T877"/>
  <c r="S873"/>
  <c r="U863"/>
  <c r="R860"/>
  <c r="V860" s="1"/>
  <c r="U860"/>
  <c r="R814"/>
  <c r="V814" s="1"/>
  <c r="U797"/>
  <c r="T793"/>
  <c r="S789"/>
  <c r="R786"/>
  <c r="V786" s="1"/>
  <c r="U773"/>
  <c r="T770"/>
  <c r="T752"/>
  <c r="S743"/>
  <c r="S737"/>
  <c r="R736"/>
  <c r="V736" s="1"/>
  <c r="U736"/>
  <c r="R683"/>
  <c r="V683" s="1"/>
  <c r="U683"/>
  <c r="R630"/>
  <c r="V630" s="1"/>
  <c r="U630"/>
  <c r="R588"/>
  <c r="V588" s="1"/>
  <c r="U588"/>
  <c r="S407"/>
  <c r="U537"/>
  <c r="U949"/>
  <c r="T945"/>
  <c r="S917"/>
  <c r="R910"/>
  <c r="V910" s="1"/>
  <c r="U857"/>
  <c r="T853"/>
  <c r="S849"/>
  <c r="U823"/>
  <c r="T819"/>
  <c r="R799"/>
  <c r="V799" s="1"/>
  <c r="U799"/>
  <c r="U783"/>
  <c r="T779"/>
  <c r="T605"/>
  <c r="S490"/>
  <c r="U448"/>
  <c r="S448"/>
  <c r="U1045"/>
  <c r="U1039"/>
  <c r="S1027"/>
  <c r="U1021"/>
  <c r="U1011"/>
  <c r="S1000"/>
  <c r="S992"/>
  <c r="S976"/>
  <c r="S969"/>
  <c r="U961"/>
  <c r="S952"/>
  <c r="S937"/>
  <c r="U929"/>
  <c r="T925"/>
  <c r="U899"/>
  <c r="T895"/>
  <c r="S891"/>
  <c r="R882"/>
  <c r="V882" s="1"/>
  <c r="U875"/>
  <c r="S872"/>
  <c r="U839"/>
  <c r="T835"/>
  <c r="R833"/>
  <c r="V833" s="1"/>
  <c r="U833"/>
  <c r="T815"/>
  <c r="R813"/>
  <c r="V813" s="1"/>
  <c r="U813"/>
  <c r="U805"/>
  <c r="T801"/>
  <c r="R785"/>
  <c r="V785" s="1"/>
  <c r="U785"/>
  <c r="T772"/>
  <c r="T759"/>
  <c r="S753"/>
  <c r="S738"/>
  <c r="S664"/>
  <c r="S658"/>
  <c r="S654"/>
  <c r="S650"/>
  <c r="S646"/>
  <c r="S640"/>
  <c r="S636"/>
  <c r="S632"/>
  <c r="R620"/>
  <c r="V620" s="1"/>
  <c r="U620"/>
  <c r="R405"/>
  <c r="V405" s="1"/>
  <c r="U405"/>
  <c r="S401"/>
  <c r="S397"/>
  <c r="S393"/>
  <c r="S389"/>
  <c r="T1043"/>
  <c r="T1027"/>
  <c r="T1019"/>
  <c r="T1009"/>
  <c r="T1000"/>
  <c r="T992"/>
  <c r="T976"/>
  <c r="R953"/>
  <c r="V953" s="1"/>
  <c r="R935"/>
  <c r="V935" s="1"/>
  <c r="R873"/>
  <c r="V873" s="1"/>
  <c r="R797"/>
  <c r="V797" s="1"/>
  <c r="R773"/>
  <c r="V773" s="1"/>
  <c r="R743"/>
  <c r="V743" s="1"/>
  <c r="U317"/>
  <c r="R712"/>
  <c r="V712" s="1"/>
  <c r="U705"/>
  <c r="T687"/>
  <c r="U677"/>
  <c r="T673"/>
  <c r="R661"/>
  <c r="V661" s="1"/>
  <c r="U624"/>
  <c r="S589"/>
  <c r="S586"/>
  <c r="U578"/>
  <c r="S573"/>
  <c r="S558"/>
  <c r="U550"/>
  <c r="S547"/>
  <c r="S534"/>
  <c r="U524"/>
  <c r="T520"/>
  <c r="S516"/>
  <c r="U508"/>
  <c r="S505"/>
  <c r="R494"/>
  <c r="V494" s="1"/>
  <c r="U494"/>
  <c r="R491"/>
  <c r="V491" s="1"/>
  <c r="U488"/>
  <c r="S471"/>
  <c r="S468"/>
  <c r="T451"/>
  <c r="R451"/>
  <c r="V451" s="1"/>
  <c r="T430"/>
  <c r="U421"/>
  <c r="R421"/>
  <c r="V421" s="1"/>
  <c r="U417"/>
  <c r="R417"/>
  <c r="V417" s="1"/>
  <c r="T314"/>
  <c r="R314"/>
  <c r="V314" s="1"/>
  <c r="U314"/>
  <c r="T209"/>
  <c r="T964"/>
  <c r="T948"/>
  <c r="T936"/>
  <c r="U907"/>
  <c r="T898"/>
  <c r="T788"/>
  <c r="U777"/>
  <c r="U761"/>
  <c r="U358"/>
  <c r="S725"/>
  <c r="R708"/>
  <c r="V708" s="1"/>
  <c r="U701"/>
  <c r="T697"/>
  <c r="S693"/>
  <c r="U618"/>
  <c r="T614"/>
  <c r="S610"/>
  <c r="U540"/>
  <c r="S537"/>
  <c r="R528"/>
  <c r="V528" s="1"/>
  <c r="U528"/>
  <c r="U484"/>
  <c r="T480"/>
  <c r="S476"/>
  <c r="R473"/>
  <c r="V473" s="1"/>
  <c r="S450"/>
  <c r="T450"/>
  <c r="S383"/>
  <c r="R295"/>
  <c r="V295" s="1"/>
  <c r="U295"/>
  <c r="U972"/>
  <c r="S966"/>
  <c r="S962"/>
  <c r="U958"/>
  <c r="S950"/>
  <c r="S946"/>
  <c r="U942"/>
  <c r="U928"/>
  <c r="S840"/>
  <c r="U321"/>
  <c r="U727"/>
  <c r="R726"/>
  <c r="V726" s="1"/>
  <c r="U726"/>
  <c r="S721"/>
  <c r="U713"/>
  <c r="S704"/>
  <c r="S685"/>
  <c r="U662"/>
  <c r="T626"/>
  <c r="T619"/>
  <c r="U598"/>
  <c r="T594"/>
  <c r="S590"/>
  <c r="S572"/>
  <c r="T568"/>
  <c r="S564"/>
  <c r="U556"/>
  <c r="S529"/>
  <c r="S506"/>
  <c r="R487"/>
  <c r="V487" s="1"/>
  <c r="S470"/>
  <c r="T442"/>
  <c r="U434"/>
  <c r="S434"/>
  <c r="R386"/>
  <c r="V386" s="1"/>
  <c r="T930"/>
  <c r="S901"/>
  <c r="S887"/>
  <c r="S845"/>
  <c r="S837"/>
  <c r="T830"/>
  <c r="S795"/>
  <c r="S791"/>
  <c r="S787"/>
  <c r="T780"/>
  <c r="S775"/>
  <c r="S767"/>
  <c r="S763"/>
  <c r="T760"/>
  <c r="S745"/>
  <c r="S741"/>
  <c r="R677"/>
  <c r="V677" s="1"/>
  <c r="R586"/>
  <c r="V586" s="1"/>
  <c r="R558"/>
  <c r="V558" s="1"/>
  <c r="R534"/>
  <c r="V534" s="1"/>
  <c r="R520"/>
  <c r="V520" s="1"/>
  <c r="R468"/>
  <c r="V468" s="1"/>
  <c r="T457"/>
  <c r="U427"/>
  <c r="T359"/>
  <c r="S342"/>
  <c r="U341"/>
  <c r="T337"/>
  <c r="S323"/>
  <c r="S319"/>
  <c r="T306"/>
  <c r="U306"/>
  <c r="T279"/>
  <c r="T274"/>
  <c r="U274"/>
  <c r="U186"/>
  <c r="U711"/>
  <c r="T672"/>
  <c r="T581"/>
  <c r="T567"/>
  <c r="T543"/>
  <c r="T515"/>
  <c r="T495"/>
  <c r="T489"/>
  <c r="U482"/>
  <c r="U472"/>
  <c r="U466"/>
  <c r="T260"/>
  <c r="U456"/>
  <c r="U423"/>
  <c r="S406"/>
  <c r="S387"/>
  <c r="U381"/>
  <c r="T377"/>
  <c r="S373"/>
  <c r="U355"/>
  <c r="T351"/>
  <c r="S347"/>
  <c r="S329"/>
  <c r="T293"/>
  <c r="S188"/>
  <c r="R188"/>
  <c r="V188" s="1"/>
  <c r="U188"/>
  <c r="U152"/>
  <c r="S152"/>
  <c r="S722"/>
  <c r="S718"/>
  <c r="U696"/>
  <c r="S686"/>
  <c r="S651"/>
  <c r="S603"/>
  <c r="S579"/>
  <c r="S555"/>
  <c r="S535"/>
  <c r="U511"/>
  <c r="U507"/>
  <c r="T222"/>
  <c r="T443"/>
  <c r="T435"/>
  <c r="S415"/>
  <c r="T411"/>
  <c r="R409"/>
  <c r="V409" s="1"/>
  <c r="U409"/>
  <c r="T358"/>
  <c r="S310"/>
  <c r="T302"/>
  <c r="U302"/>
  <c r="T283"/>
  <c r="U206"/>
  <c r="R206"/>
  <c r="V206" s="1"/>
  <c r="S703"/>
  <c r="S675"/>
  <c r="S652"/>
  <c r="S648"/>
  <c r="S644"/>
  <c r="T637"/>
  <c r="T615"/>
  <c r="T611"/>
  <c r="T607"/>
  <c r="T603"/>
  <c r="U249"/>
  <c r="T309"/>
  <c r="T301"/>
  <c r="T273"/>
  <c r="U266"/>
  <c r="S247"/>
  <c r="S228"/>
  <c r="U218"/>
  <c r="T214"/>
  <c r="T166"/>
  <c r="S148"/>
  <c r="T420"/>
  <c r="T408"/>
  <c r="T396"/>
  <c r="U391"/>
  <c r="U379"/>
  <c r="U357"/>
  <c r="S344"/>
  <c r="S333"/>
  <c r="S324"/>
  <c r="R258"/>
  <c r="V258" s="1"/>
  <c r="R238"/>
  <c r="V238" s="1"/>
  <c r="T340"/>
  <c r="T328"/>
  <c r="S315"/>
  <c r="U299"/>
  <c r="R260"/>
  <c r="V260" s="1"/>
  <c r="U260"/>
  <c r="R249"/>
  <c r="V249" s="1"/>
  <c r="S222"/>
  <c r="T204"/>
  <c r="S200"/>
  <c r="U192"/>
  <c r="U165"/>
  <c r="R141"/>
  <c r="V141" s="1"/>
  <c r="U141"/>
  <c r="U139"/>
  <c r="S458"/>
  <c r="S428"/>
  <c r="U424"/>
  <c r="U410"/>
  <c r="U404"/>
  <c r="U396"/>
  <c r="U384"/>
  <c r="U376"/>
  <c r="U370"/>
  <c r="U354"/>
  <c r="S288"/>
  <c r="S280"/>
  <c r="T261"/>
  <c r="T258"/>
  <c r="S254"/>
  <c r="U242"/>
  <c r="T238"/>
  <c r="S234"/>
  <c r="T223"/>
  <c r="S72"/>
  <c r="R39"/>
  <c r="V39" s="1"/>
  <c r="S39"/>
  <c r="U178"/>
  <c r="U170"/>
  <c r="S157"/>
  <c r="U146"/>
  <c r="T126"/>
  <c r="S92"/>
  <c r="T263"/>
  <c r="T251"/>
  <c r="T233"/>
  <c r="T213"/>
  <c r="T195"/>
  <c r="R125"/>
  <c r="V125" s="1"/>
  <c r="S124"/>
  <c r="S90"/>
  <c r="S77"/>
  <c r="S54"/>
  <c r="S171"/>
  <c r="T162"/>
  <c r="S160"/>
  <c r="R149"/>
  <c r="V149" s="1"/>
  <c r="R146"/>
  <c r="V146" s="1"/>
  <c r="T175"/>
  <c r="U160"/>
  <c r="R143"/>
  <c r="V143" s="1"/>
  <c r="R140"/>
  <c r="V140" s="1"/>
  <c r="S132"/>
  <c r="R132"/>
  <c r="V132" s="1"/>
  <c r="T128"/>
  <c r="U117"/>
  <c r="S117"/>
  <c r="R110"/>
  <c r="V110" s="1"/>
  <c r="U110"/>
  <c r="S110"/>
  <c r="T102"/>
  <c r="U102"/>
  <c r="U29"/>
  <c r="R29"/>
  <c r="V29" s="1"/>
  <c r="T27"/>
  <c r="R26"/>
  <c r="V26" s="1"/>
  <c r="T9"/>
  <c r="U9"/>
  <c r="T121"/>
  <c r="T105"/>
  <c r="T99"/>
  <c r="R14"/>
  <c r="V14" s="1"/>
  <c r="R122"/>
  <c r="V122" s="1"/>
  <c r="T86"/>
  <c r="U142"/>
  <c r="T82"/>
  <c r="S68"/>
  <c r="S59"/>
  <c r="R59"/>
  <c r="V59" s="1"/>
  <c r="U46"/>
  <c r="T5"/>
  <c r="R5"/>
  <c r="V5" s="1"/>
  <c r="S118"/>
  <c r="T85"/>
  <c r="T52"/>
  <c r="U41"/>
  <c r="S41"/>
  <c r="U82"/>
  <c r="U67"/>
  <c r="T58"/>
  <c r="S21"/>
  <c r="S74"/>
  <c r="S30"/>
  <c r="R74"/>
  <c r="V74" s="1"/>
  <c r="U51"/>
  <c r="T36"/>
  <c r="U20"/>
  <c r="T4"/>
  <c r="S10"/>
  <c r="S23"/>
  <c r="S42"/>
  <c r="R642"/>
  <c r="V642" s="1"/>
  <c r="U642"/>
  <c r="R576"/>
  <c r="V576" s="1"/>
  <c r="U576"/>
  <c r="R668"/>
  <c r="V668" s="1"/>
  <c r="U668"/>
  <c r="R871"/>
  <c r="V871" s="1"/>
  <c r="U871"/>
  <c r="R79"/>
  <c r="V79" s="1"/>
  <c r="R544"/>
  <c r="V544" s="1"/>
  <c r="U544"/>
  <c r="R921"/>
  <c r="V921" s="1"/>
  <c r="U921"/>
  <c r="R1038"/>
  <c r="V1038" s="1"/>
  <c r="U1038"/>
  <c r="U87"/>
  <c r="S43"/>
  <c r="T43"/>
  <c r="S847"/>
  <c r="T847"/>
  <c r="S861"/>
  <c r="T861"/>
  <c r="S1030"/>
  <c r="T42"/>
  <c r="T312"/>
  <c r="T576"/>
  <c r="T668"/>
  <c r="U79"/>
  <c r="T185"/>
  <c r="T278"/>
  <c r="R87"/>
  <c r="V87" s="1"/>
  <c r="R622"/>
  <c r="V622" s="1"/>
  <c r="U622"/>
  <c r="T13"/>
  <c r="R973"/>
  <c r="V973" s="1"/>
  <c r="U973"/>
  <c r="S973"/>
  <c r="T1030"/>
  <c r="S642"/>
  <c r="S576"/>
  <c r="S668"/>
  <c r="S871"/>
  <c r="T871"/>
  <c r="S79"/>
  <c r="S544"/>
  <c r="S921"/>
  <c r="T921"/>
  <c r="S1038"/>
  <c r="T87"/>
  <c r="T622"/>
  <c r="R847"/>
  <c r="V847" s="1"/>
  <c r="U847"/>
  <c r="R861"/>
  <c r="V861" s="1"/>
  <c r="U861"/>
  <c r="R1030"/>
  <c r="V1030" s="1"/>
  <c r="U1030"/>
  <c r="R42"/>
  <c r="V42" s="1"/>
  <c r="U42"/>
  <c r="R312"/>
  <c r="V312" s="1"/>
  <c r="S312"/>
  <c r="U312"/>
  <c r="T642"/>
  <c r="T79"/>
  <c r="R185"/>
  <c r="V185" s="1"/>
  <c r="U185"/>
  <c r="S185"/>
  <c r="R278"/>
  <c r="V278" s="1"/>
  <c r="U278"/>
  <c r="S278"/>
  <c r="T544"/>
  <c r="T1038"/>
  <c r="S87"/>
  <c r="S622"/>
  <c r="R13"/>
  <c r="V13" s="1"/>
  <c r="U13"/>
  <c r="S13"/>
  <c r="U43"/>
  <c r="R43"/>
  <c r="V43" s="1"/>
  <c r="T973"/>
  <c r="V98" i="1"/>
  <c r="M99"/>
  <c r="L99"/>
  <c r="O100"/>
  <c r="O101"/>
  <c r="V97"/>
  <c r="G99" l="1"/>
  <c r="J99"/>
  <c r="N6" i="2"/>
  <c r="O3"/>
  <c r="O6"/>
  <c r="N8"/>
  <c r="O10"/>
  <c r="N3"/>
  <c r="O7"/>
  <c r="N16"/>
  <c r="O18"/>
  <c r="N20"/>
  <c r="N22"/>
  <c r="N4"/>
  <c r="N7"/>
  <c r="N15"/>
  <c r="N24"/>
  <c r="N30"/>
  <c r="N32"/>
  <c r="N36"/>
  <c r="N38"/>
  <c r="N40"/>
  <c r="O45"/>
  <c r="N47"/>
  <c r="O49"/>
  <c r="N51"/>
  <c r="O56"/>
  <c r="O63"/>
  <c r="O67"/>
  <c r="O71"/>
  <c r="N74"/>
  <c r="N76"/>
  <c r="N83"/>
  <c r="N89"/>
  <c r="N91"/>
  <c r="N93"/>
  <c r="N95"/>
  <c r="N97"/>
  <c r="N103"/>
  <c r="N107"/>
  <c r="N113"/>
  <c r="N115"/>
  <c r="O12"/>
  <c r="O19"/>
  <c r="O23"/>
  <c r="N45"/>
  <c r="O50"/>
  <c r="N56"/>
  <c r="N58"/>
  <c r="O61"/>
  <c r="N63"/>
  <c r="O65"/>
  <c r="N67"/>
  <c r="O69"/>
  <c r="N71"/>
  <c r="O8"/>
  <c r="N19"/>
  <c r="O24"/>
  <c r="O41"/>
  <c r="N62"/>
  <c r="N70"/>
  <c r="N80"/>
  <c r="N84"/>
  <c r="N120"/>
  <c r="O122"/>
  <c r="O129"/>
  <c r="O133"/>
  <c r="N135"/>
  <c r="N137"/>
  <c r="O142"/>
  <c r="O30"/>
  <c r="O47"/>
  <c r="N50"/>
  <c r="O57"/>
  <c r="O66"/>
  <c r="O74"/>
  <c r="N81"/>
  <c r="N85"/>
  <c r="N86"/>
  <c r="O89"/>
  <c r="O91"/>
  <c r="O93"/>
  <c r="O95"/>
  <c r="O97"/>
  <c r="O98"/>
  <c r="O103"/>
  <c r="O104"/>
  <c r="O107"/>
  <c r="O108"/>
  <c r="O119"/>
  <c r="O123"/>
  <c r="N129"/>
  <c r="N131"/>
  <c r="N133"/>
  <c r="O136"/>
  <c r="N142"/>
  <c r="O144"/>
  <c r="O15"/>
  <c r="N21"/>
  <c r="N34"/>
  <c r="O38"/>
  <c r="O44"/>
  <c r="N52"/>
  <c r="N57"/>
  <c r="N66"/>
  <c r="N98"/>
  <c r="N104"/>
  <c r="N108"/>
  <c r="O113"/>
  <c r="O115"/>
  <c r="O116"/>
  <c r="N119"/>
  <c r="N121"/>
  <c r="N123"/>
  <c r="N136"/>
  <c r="O138"/>
  <c r="O145"/>
  <c r="N46"/>
  <c r="O80"/>
  <c r="O83"/>
  <c r="N127"/>
  <c r="O135"/>
  <c r="N151"/>
  <c r="N160"/>
  <c r="O162"/>
  <c r="N167"/>
  <c r="N169"/>
  <c r="N171"/>
  <c r="N173"/>
  <c r="N175"/>
  <c r="N177"/>
  <c r="N179"/>
  <c r="N181"/>
  <c r="N183"/>
  <c r="N184"/>
  <c r="O193"/>
  <c r="N194"/>
  <c r="O197"/>
  <c r="N198"/>
  <c r="O201"/>
  <c r="N202"/>
  <c r="O205"/>
  <c r="N210"/>
  <c r="N212"/>
  <c r="O215"/>
  <c r="N216"/>
  <c r="O219"/>
  <c r="N220"/>
  <c r="O225"/>
  <c r="N226"/>
  <c r="O229"/>
  <c r="O231"/>
  <c r="N232"/>
  <c r="O235"/>
  <c r="N236"/>
  <c r="O239"/>
  <c r="N240"/>
  <c r="O243"/>
  <c r="N244"/>
  <c r="N248"/>
  <c r="N250"/>
  <c r="O255"/>
  <c r="N256"/>
  <c r="N262"/>
  <c r="O265"/>
  <c r="O267"/>
  <c r="N268"/>
  <c r="O271"/>
  <c r="N44"/>
  <c r="O51"/>
  <c r="N101"/>
  <c r="N109"/>
  <c r="N116"/>
  <c r="O155"/>
  <c r="O159"/>
  <c r="O163"/>
  <c r="O190"/>
  <c r="N25"/>
  <c r="N68"/>
  <c r="O70"/>
  <c r="O84"/>
  <c r="O120"/>
  <c r="N145"/>
  <c r="O146"/>
  <c r="N155"/>
  <c r="N156"/>
  <c r="N159"/>
  <c r="N161"/>
  <c r="N163"/>
  <c r="O168"/>
  <c r="N170"/>
  <c r="O172"/>
  <c r="N174"/>
  <c r="O176"/>
  <c r="N178"/>
  <c r="O180"/>
  <c r="N182"/>
  <c r="O187"/>
  <c r="O191"/>
  <c r="N35"/>
  <c r="O62"/>
  <c r="N105"/>
  <c r="O132"/>
  <c r="O151"/>
  <c r="N157"/>
  <c r="O212"/>
  <c r="N213"/>
  <c r="O216"/>
  <c r="N217"/>
  <c r="O220"/>
  <c r="N221"/>
  <c r="O226"/>
  <c r="N227"/>
  <c r="O248"/>
  <c r="N259"/>
  <c r="O268"/>
  <c r="N269"/>
  <c r="O297"/>
  <c r="O298"/>
  <c r="O313"/>
  <c r="O318"/>
  <c r="O322"/>
  <c r="O333"/>
  <c r="O346"/>
  <c r="O348"/>
  <c r="N349"/>
  <c r="O352"/>
  <c r="N353"/>
  <c r="O356"/>
  <c r="N357"/>
  <c r="O362"/>
  <c r="N363"/>
  <c r="O366"/>
  <c r="O368"/>
  <c r="N369"/>
  <c r="O374"/>
  <c r="N375"/>
  <c r="O378"/>
  <c r="N379"/>
  <c r="O382"/>
  <c r="O388"/>
  <c r="O390"/>
  <c r="N391"/>
  <c r="O394"/>
  <c r="N395"/>
  <c r="O398"/>
  <c r="N399"/>
  <c r="O402"/>
  <c r="N403"/>
  <c r="O412"/>
  <c r="N413"/>
  <c r="O418"/>
  <c r="N419"/>
  <c r="O422"/>
  <c r="O428"/>
  <c r="N149"/>
  <c r="O158"/>
  <c r="O169"/>
  <c r="O177"/>
  <c r="N189"/>
  <c r="O210"/>
  <c r="O272"/>
  <c r="O275"/>
  <c r="N298"/>
  <c r="O300"/>
  <c r="O303"/>
  <c r="O304"/>
  <c r="O307"/>
  <c r="O308"/>
  <c r="N313"/>
  <c r="O315"/>
  <c r="N318"/>
  <c r="N320"/>
  <c r="N322"/>
  <c r="N324"/>
  <c r="O327"/>
  <c r="N328"/>
  <c r="O331"/>
  <c r="N333"/>
  <c r="O335"/>
  <c r="N340"/>
  <c r="O343"/>
  <c r="N344"/>
  <c r="N346"/>
  <c r="N348"/>
  <c r="N352"/>
  <c r="N356"/>
  <c r="N362"/>
  <c r="N366"/>
  <c r="N368"/>
  <c r="N374"/>
  <c r="N378"/>
  <c r="N382"/>
  <c r="N388"/>
  <c r="N390"/>
  <c r="N394"/>
  <c r="N398"/>
  <c r="N402"/>
  <c r="N436"/>
  <c r="N53"/>
  <c r="N99"/>
  <c r="O128"/>
  <c r="N146"/>
  <c r="O150"/>
  <c r="O160"/>
  <c r="O184"/>
  <c r="O232"/>
  <c r="N233"/>
  <c r="O236"/>
  <c r="N237"/>
  <c r="O240"/>
  <c r="N241"/>
  <c r="O244"/>
  <c r="N245"/>
  <c r="N253"/>
  <c r="O256"/>
  <c r="N257"/>
  <c r="O262"/>
  <c r="N263"/>
  <c r="N272"/>
  <c r="O281"/>
  <c r="O282"/>
  <c r="O285"/>
  <c r="O286"/>
  <c r="O289"/>
  <c r="O290"/>
  <c r="N304"/>
  <c r="N308"/>
  <c r="O316"/>
  <c r="O332"/>
  <c r="O336"/>
  <c r="N147"/>
  <c r="N187"/>
  <c r="N207"/>
  <c r="O222"/>
  <c r="N316"/>
  <c r="O325"/>
  <c r="N330"/>
  <c r="N334"/>
  <c r="N338"/>
  <c r="N426"/>
  <c r="N449"/>
  <c r="O454"/>
  <c r="O455"/>
  <c r="O458"/>
  <c r="O459"/>
  <c r="O465"/>
  <c r="N466"/>
  <c r="N472"/>
  <c r="N474"/>
  <c r="O477"/>
  <c r="N478"/>
  <c r="O481"/>
  <c r="N482"/>
  <c r="O485"/>
  <c r="N486"/>
  <c r="N492"/>
  <c r="O499"/>
  <c r="N500"/>
  <c r="O503"/>
  <c r="N504"/>
  <c r="O509"/>
  <c r="N510"/>
  <c r="O513"/>
  <c r="N514"/>
  <c r="O517"/>
  <c r="N518"/>
  <c r="O521"/>
  <c r="N522"/>
  <c r="O525"/>
  <c r="N526"/>
  <c r="O531"/>
  <c r="N532"/>
  <c r="O535"/>
  <c r="N536"/>
  <c r="N538"/>
  <c r="O541"/>
  <c r="N542"/>
  <c r="N546"/>
  <c r="N548"/>
  <c r="O551"/>
  <c r="N552"/>
  <c r="O555"/>
  <c r="O557"/>
  <c r="O561"/>
  <c r="N562"/>
  <c r="O565"/>
  <c r="N566"/>
  <c r="O569"/>
  <c r="N570"/>
  <c r="O579"/>
  <c r="N580"/>
  <c r="O583"/>
  <c r="N584"/>
  <c r="N596"/>
  <c r="O627"/>
  <c r="N634"/>
  <c r="O655"/>
  <c r="N656"/>
  <c r="N660"/>
  <c r="O674"/>
  <c r="O678"/>
  <c r="N679"/>
  <c r="O694"/>
  <c r="N695"/>
  <c r="O698"/>
  <c r="N699"/>
  <c r="O710"/>
  <c r="O714"/>
  <c r="N719"/>
  <c r="O728"/>
  <c r="N729"/>
  <c r="O194"/>
  <c r="O198"/>
  <c r="O202"/>
  <c r="O250"/>
  <c r="O260"/>
  <c r="N282"/>
  <c r="N290"/>
  <c r="O294"/>
  <c r="N301"/>
  <c r="N309"/>
  <c r="N319"/>
  <c r="O337"/>
  <c r="N342"/>
  <c r="O369"/>
  <c r="N370"/>
  <c r="O391"/>
  <c r="N392"/>
  <c r="O395"/>
  <c r="N396"/>
  <c r="O399"/>
  <c r="N400"/>
  <c r="O403"/>
  <c r="N404"/>
  <c r="N416"/>
  <c r="O419"/>
  <c r="N420"/>
  <c r="N424"/>
  <c r="N455"/>
  <c r="N459"/>
  <c r="N465"/>
  <c r="N477"/>
  <c r="N481"/>
  <c r="N485"/>
  <c r="N674"/>
  <c r="N706"/>
  <c r="N710"/>
  <c r="N714"/>
  <c r="O181"/>
  <c r="N277"/>
  <c r="N332"/>
  <c r="N336"/>
  <c r="N360"/>
  <c r="O363"/>
  <c r="N410"/>
  <c r="O413"/>
  <c r="N414"/>
  <c r="O429"/>
  <c r="O432"/>
  <c r="O433"/>
  <c r="O436"/>
  <c r="O437"/>
  <c r="O440"/>
  <c r="O441"/>
  <c r="O444"/>
  <c r="O445"/>
  <c r="O597"/>
  <c r="O601"/>
  <c r="O609"/>
  <c r="O613"/>
  <c r="O617"/>
  <c r="O621"/>
  <c r="O623"/>
  <c r="O629"/>
  <c r="O631"/>
  <c r="O635"/>
  <c r="O639"/>
  <c r="O645"/>
  <c r="O649"/>
  <c r="O653"/>
  <c r="O657"/>
  <c r="O667"/>
  <c r="O669"/>
  <c r="O690"/>
  <c r="O692"/>
  <c r="O716"/>
  <c r="O321"/>
  <c r="O349"/>
  <c r="O353"/>
  <c r="O357"/>
  <c r="N372"/>
  <c r="N376"/>
  <c r="N380"/>
  <c r="O462"/>
  <c r="N463"/>
  <c r="O466"/>
  <c r="N467"/>
  <c r="O472"/>
  <c r="O492"/>
  <c r="N493"/>
  <c r="N507"/>
  <c r="O510"/>
  <c r="N511"/>
  <c r="O514"/>
  <c r="N515"/>
  <c r="O518"/>
  <c r="N519"/>
  <c r="O522"/>
  <c r="N523"/>
  <c r="O526"/>
  <c r="N527"/>
  <c r="O532"/>
  <c r="N533"/>
  <c r="O536"/>
  <c r="O548"/>
  <c r="N549"/>
  <c r="O552"/>
  <c r="N553"/>
  <c r="N577"/>
  <c r="O580"/>
  <c r="N581"/>
  <c r="O584"/>
  <c r="N585"/>
  <c r="N623"/>
  <c r="N669"/>
  <c r="O671"/>
  <c r="N672"/>
  <c r="O675"/>
  <c r="N676"/>
  <c r="O679"/>
  <c r="N680"/>
  <c r="O689"/>
  <c r="N690"/>
  <c r="O707"/>
  <c r="O806"/>
  <c r="N827"/>
  <c r="N841"/>
  <c r="N851"/>
  <c r="O864"/>
  <c r="O868"/>
  <c r="N869"/>
  <c r="O874"/>
  <c r="O878"/>
  <c r="O890"/>
  <c r="O892"/>
  <c r="O894"/>
  <c r="O896"/>
  <c r="O900"/>
  <c r="O912"/>
  <c r="N913"/>
  <c r="N923"/>
  <c r="O938"/>
  <c r="N939"/>
  <c r="O946"/>
  <c r="N947"/>
  <c r="O950"/>
  <c r="N951"/>
  <c r="N957"/>
  <c r="O962"/>
  <c r="N963"/>
  <c r="O966"/>
  <c r="N967"/>
  <c r="O970"/>
  <c r="O173"/>
  <c r="N191"/>
  <c r="N199"/>
  <c r="N273"/>
  <c r="N286"/>
  <c r="N326"/>
  <c r="N384"/>
  <c r="N433"/>
  <c r="N441"/>
  <c r="O470"/>
  <c r="N497"/>
  <c r="O500"/>
  <c r="N501"/>
  <c r="O504"/>
  <c r="O546"/>
  <c r="O572"/>
  <c r="N621"/>
  <c r="N631"/>
  <c r="O634"/>
  <c r="N635"/>
  <c r="O638"/>
  <c r="N639"/>
  <c r="O644"/>
  <c r="N645"/>
  <c r="O648"/>
  <c r="N649"/>
  <c r="O652"/>
  <c r="N653"/>
  <c r="O656"/>
  <c r="N657"/>
  <c r="O660"/>
  <c r="N663"/>
  <c r="O666"/>
  <c r="N667"/>
  <c r="O711"/>
  <c r="N740"/>
  <c r="N744"/>
  <c r="N758"/>
  <c r="N760"/>
  <c r="N766"/>
  <c r="N774"/>
  <c r="N780"/>
  <c r="N790"/>
  <c r="N794"/>
  <c r="N802"/>
  <c r="N806"/>
  <c r="N810"/>
  <c r="N864"/>
  <c r="N868"/>
  <c r="N874"/>
  <c r="N878"/>
  <c r="N890"/>
  <c r="N892"/>
  <c r="N894"/>
  <c r="N896"/>
  <c r="N900"/>
  <c r="N906"/>
  <c r="N912"/>
  <c r="N970"/>
  <c r="O317"/>
  <c r="N350"/>
  <c r="N354"/>
  <c r="O375"/>
  <c r="O379"/>
  <c r="N469"/>
  <c r="N489"/>
  <c r="N559"/>
  <c r="O562"/>
  <c r="N563"/>
  <c r="O566"/>
  <c r="N567"/>
  <c r="O570"/>
  <c r="N571"/>
  <c r="N587"/>
  <c r="O592"/>
  <c r="N593"/>
  <c r="O596"/>
  <c r="N597"/>
  <c r="O600"/>
  <c r="N601"/>
  <c r="O604"/>
  <c r="N619"/>
  <c r="O628"/>
  <c r="N629"/>
  <c r="N682"/>
  <c r="O715"/>
  <c r="N716"/>
  <c r="O719"/>
  <c r="N720"/>
  <c r="O723"/>
  <c r="N726"/>
  <c r="O729"/>
  <c r="N730"/>
  <c r="O733"/>
  <c r="O734"/>
  <c r="O742"/>
  <c r="O746"/>
  <c r="O748"/>
  <c r="O756"/>
  <c r="O764"/>
  <c r="O768"/>
  <c r="O778"/>
  <c r="O782"/>
  <c r="O792"/>
  <c r="O796"/>
  <c r="O808"/>
  <c r="O812"/>
  <c r="O822"/>
  <c r="O832"/>
  <c r="O834"/>
  <c r="O838"/>
  <c r="O842"/>
  <c r="O846"/>
  <c r="O848"/>
  <c r="O852"/>
  <c r="O856"/>
  <c r="O866"/>
  <c r="O880"/>
  <c r="O908"/>
  <c r="O914"/>
  <c r="O924"/>
  <c r="O928"/>
  <c r="O932"/>
  <c r="N203"/>
  <c r="N475"/>
  <c r="N479"/>
  <c r="N483"/>
  <c r="N641"/>
  <c r="O691"/>
  <c r="O695"/>
  <c r="O699"/>
  <c r="O703"/>
  <c r="O741"/>
  <c r="N742"/>
  <c r="O745"/>
  <c r="N746"/>
  <c r="N756"/>
  <c r="O775"/>
  <c r="O787"/>
  <c r="N788"/>
  <c r="O791"/>
  <c r="N792"/>
  <c r="O795"/>
  <c r="N796"/>
  <c r="O845"/>
  <c r="N846"/>
  <c r="O865"/>
  <c r="N866"/>
  <c r="O869"/>
  <c r="N870"/>
  <c r="O879"/>
  <c r="N880"/>
  <c r="O887"/>
  <c r="N888"/>
  <c r="O957"/>
  <c r="N958"/>
  <c r="N982"/>
  <c r="N988"/>
  <c r="N993"/>
  <c r="N997"/>
  <c r="N1001"/>
  <c r="N1006"/>
  <c r="N1010"/>
  <c r="N1020"/>
  <c r="N1024"/>
  <c r="N1032"/>
  <c r="N1034"/>
  <c r="N1044"/>
  <c r="N195"/>
  <c r="N311"/>
  <c r="N495"/>
  <c r="N539"/>
  <c r="N543"/>
  <c r="O608"/>
  <c r="O612"/>
  <c r="O616"/>
  <c r="N734"/>
  <c r="O763"/>
  <c r="N764"/>
  <c r="O767"/>
  <c r="N768"/>
  <c r="O885"/>
  <c r="N904"/>
  <c r="O907"/>
  <c r="N908"/>
  <c r="O913"/>
  <c r="N914"/>
  <c r="N942"/>
  <c r="N251"/>
  <c r="N339"/>
  <c r="N408"/>
  <c r="O449"/>
  <c r="O474"/>
  <c r="O478"/>
  <c r="O482"/>
  <c r="O486"/>
  <c r="N692"/>
  <c r="N696"/>
  <c r="N700"/>
  <c r="N750"/>
  <c r="O761"/>
  <c r="N784"/>
  <c r="O799"/>
  <c r="N800"/>
  <c r="O803"/>
  <c r="N804"/>
  <c r="O807"/>
  <c r="N808"/>
  <c r="O811"/>
  <c r="N812"/>
  <c r="O817"/>
  <c r="N824"/>
  <c r="O827"/>
  <c r="O833"/>
  <c r="N834"/>
  <c r="O837"/>
  <c r="N838"/>
  <c r="O841"/>
  <c r="N842"/>
  <c r="O883"/>
  <c r="O897"/>
  <c r="N898"/>
  <c r="O901"/>
  <c r="N902"/>
  <c r="O923"/>
  <c r="N924"/>
  <c r="O927"/>
  <c r="N928"/>
  <c r="O931"/>
  <c r="N932"/>
  <c r="N936"/>
  <c r="O939"/>
  <c r="N940"/>
  <c r="N954"/>
  <c r="N960"/>
  <c r="O963"/>
  <c r="N964"/>
  <c r="O967"/>
  <c r="N968"/>
  <c r="N972"/>
  <c r="O979"/>
  <c r="O983"/>
  <c r="O990"/>
  <c r="O994"/>
  <c r="O1003"/>
  <c r="O1007"/>
  <c r="O1011"/>
  <c r="O1021"/>
  <c r="O1025"/>
  <c r="O1035"/>
  <c r="O1039"/>
  <c r="O1045"/>
  <c r="N305"/>
  <c r="O538"/>
  <c r="N609"/>
  <c r="N617"/>
  <c r="O737"/>
  <c r="O747"/>
  <c r="N778"/>
  <c r="N782"/>
  <c r="N832"/>
  <c r="O881"/>
  <c r="N944"/>
  <c r="N948"/>
  <c r="O988"/>
  <c r="O1034"/>
  <c r="N1035"/>
  <c r="O1044"/>
  <c r="N1045"/>
  <c r="N429"/>
  <c r="N445"/>
  <c r="N798"/>
  <c r="O821"/>
  <c r="N848"/>
  <c r="N852"/>
  <c r="N856"/>
  <c r="N1003"/>
  <c r="O1006"/>
  <c r="N1007"/>
  <c r="O1010"/>
  <c r="N1011"/>
  <c r="O1032"/>
  <c r="O542"/>
  <c r="N613"/>
  <c r="N748"/>
  <c r="O771"/>
  <c r="O777"/>
  <c r="O781"/>
  <c r="O831"/>
  <c r="O947"/>
  <c r="O951"/>
  <c r="N990"/>
  <c r="O993"/>
  <c r="N994"/>
  <c r="O997"/>
  <c r="O1020"/>
  <c r="N1021"/>
  <c r="O1024"/>
  <c r="N1025"/>
  <c r="N1039"/>
  <c r="O59"/>
  <c r="N60"/>
  <c r="N437"/>
  <c r="O494"/>
  <c r="O528"/>
  <c r="N822"/>
  <c r="O851"/>
  <c r="O855"/>
  <c r="O978"/>
  <c r="N979"/>
  <c r="O982"/>
  <c r="N983"/>
  <c r="O1001"/>
  <c r="N1029"/>
  <c r="N1037"/>
  <c r="N985"/>
  <c r="N1031"/>
  <c r="O1004"/>
  <c r="O915"/>
  <c r="O911"/>
  <c r="O762"/>
  <c r="N1046"/>
  <c r="O1036"/>
  <c r="N1017"/>
  <c r="O941"/>
  <c r="N754"/>
  <c r="O813"/>
  <c r="O1015"/>
  <c r="N989"/>
  <c r="O985"/>
  <c r="N977"/>
  <c r="O974"/>
  <c r="N955"/>
  <c r="O884"/>
  <c r="O818"/>
  <c r="N755"/>
  <c r="O755"/>
  <c r="O986"/>
  <c r="O1026"/>
  <c r="N1022"/>
  <c r="O1002"/>
  <c r="O995"/>
  <c r="N991"/>
  <c r="N769"/>
  <c r="N765"/>
  <c r="N502"/>
  <c r="O1008"/>
  <c r="N1004"/>
  <c r="N986"/>
  <c r="O975"/>
  <c r="N915"/>
  <c r="N911"/>
  <c r="O905"/>
  <c r="N762"/>
  <c r="O709"/>
  <c r="N1036"/>
  <c r="O1028"/>
  <c r="N941"/>
  <c r="O828"/>
  <c r="O999"/>
  <c r="O980"/>
  <c r="O919"/>
  <c r="N884"/>
  <c r="N818"/>
  <c r="O1040"/>
  <c r="N1026"/>
  <c r="N1002"/>
  <c r="N995"/>
  <c r="N920"/>
  <c r="N1015"/>
  <c r="N1016"/>
  <c r="O1012"/>
  <c r="N1008"/>
  <c r="O998"/>
  <c r="N975"/>
  <c r="N905"/>
  <c r="N709"/>
  <c r="O575"/>
  <c r="O1042"/>
  <c r="O1037"/>
  <c r="O1033"/>
  <c r="N1028"/>
  <c r="O987"/>
  <c r="O859"/>
  <c r="N828"/>
  <c r="O735"/>
  <c r="O903"/>
  <c r="O1014"/>
  <c r="N999"/>
  <c r="O984"/>
  <c r="N980"/>
  <c r="N974"/>
  <c r="N919"/>
  <c r="O1016"/>
  <c r="N1040"/>
  <c r="O1018"/>
  <c r="O943"/>
  <c r="O643"/>
  <c r="O1031"/>
  <c r="N1012"/>
  <c r="N998"/>
  <c r="N909"/>
  <c r="O909"/>
  <c r="N575"/>
  <c r="O1046"/>
  <c r="N1042"/>
  <c r="N1033"/>
  <c r="O1029"/>
  <c r="O1017"/>
  <c r="N987"/>
  <c r="N859"/>
  <c r="O754"/>
  <c r="N735"/>
  <c r="O843"/>
  <c r="O785"/>
  <c r="N1014"/>
  <c r="O989"/>
  <c r="N984"/>
  <c r="N978"/>
  <c r="O977"/>
  <c r="O955"/>
  <c r="O1022"/>
  <c r="N1018"/>
  <c r="O991"/>
  <c r="N943"/>
  <c r="O920"/>
  <c r="O769"/>
  <c r="O765"/>
  <c r="N643"/>
  <c r="O502"/>
  <c r="O498"/>
  <c r="N498"/>
  <c r="O959"/>
  <c r="O893"/>
  <c r="N889"/>
  <c r="N881"/>
  <c r="O877"/>
  <c r="N873"/>
  <c r="O793"/>
  <c r="N789"/>
  <c r="O770"/>
  <c r="O752"/>
  <c r="N743"/>
  <c r="N737"/>
  <c r="N407"/>
  <c r="O945"/>
  <c r="N917"/>
  <c r="O853"/>
  <c r="N849"/>
  <c r="O819"/>
  <c r="O779"/>
  <c r="O605"/>
  <c r="N490"/>
  <c r="N1043"/>
  <c r="N1019"/>
  <c r="N1009"/>
  <c r="N969"/>
  <c r="N952"/>
  <c r="N937"/>
  <c r="O925"/>
  <c r="O895"/>
  <c r="N891"/>
  <c r="N872"/>
  <c r="O835"/>
  <c r="O815"/>
  <c r="O801"/>
  <c r="O772"/>
  <c r="O759"/>
  <c r="N753"/>
  <c r="N738"/>
  <c r="N664"/>
  <c r="N658"/>
  <c r="N654"/>
  <c r="N650"/>
  <c r="N646"/>
  <c r="N640"/>
  <c r="N636"/>
  <c r="N632"/>
  <c r="N401"/>
  <c r="N397"/>
  <c r="N393"/>
  <c r="N389"/>
  <c r="O1041"/>
  <c r="O1023"/>
  <c r="O1013"/>
  <c r="O1005"/>
  <c r="O996"/>
  <c r="O981"/>
  <c r="N860"/>
  <c r="N736"/>
  <c r="O687"/>
  <c r="O673"/>
  <c r="N589"/>
  <c r="N586"/>
  <c r="N573"/>
  <c r="N558"/>
  <c r="N547"/>
  <c r="N534"/>
  <c r="O520"/>
  <c r="N516"/>
  <c r="N505"/>
  <c r="N471"/>
  <c r="N468"/>
  <c r="O451"/>
  <c r="N446"/>
  <c r="O430"/>
  <c r="O314"/>
  <c r="O209"/>
  <c r="O972"/>
  <c r="O958"/>
  <c r="O942"/>
  <c r="O904"/>
  <c r="N725"/>
  <c r="O697"/>
  <c r="N693"/>
  <c r="O614"/>
  <c r="N610"/>
  <c r="N537"/>
  <c r="O480"/>
  <c r="N476"/>
  <c r="N450"/>
  <c r="N383"/>
  <c r="N934"/>
  <c r="N926"/>
  <c r="N836"/>
  <c r="N826"/>
  <c r="N816"/>
  <c r="N721"/>
  <c r="N704"/>
  <c r="N685"/>
  <c r="O626"/>
  <c r="O619"/>
  <c r="O594"/>
  <c r="N590"/>
  <c r="N572"/>
  <c r="O568"/>
  <c r="N564"/>
  <c r="N529"/>
  <c r="N506"/>
  <c r="N470"/>
  <c r="O442"/>
  <c r="O246"/>
  <c r="N931"/>
  <c r="O906"/>
  <c r="N897"/>
  <c r="N885"/>
  <c r="O876"/>
  <c r="O850"/>
  <c r="O840"/>
  <c r="N831"/>
  <c r="O802"/>
  <c r="O794"/>
  <c r="O790"/>
  <c r="N781"/>
  <c r="N777"/>
  <c r="O774"/>
  <c r="O766"/>
  <c r="N761"/>
  <c r="O758"/>
  <c r="O744"/>
  <c r="O740"/>
  <c r="O385"/>
  <c r="O457"/>
  <c r="O359"/>
  <c r="N323"/>
  <c r="O306"/>
  <c r="N294"/>
  <c r="O279"/>
  <c r="O274"/>
  <c r="O186"/>
  <c r="O720"/>
  <c r="O700"/>
  <c r="O680"/>
  <c r="O577"/>
  <c r="O553"/>
  <c r="O523"/>
  <c r="O507"/>
  <c r="O501"/>
  <c r="O479"/>
  <c r="O469"/>
  <c r="O463"/>
  <c r="N406"/>
  <c r="N387"/>
  <c r="O377"/>
  <c r="N373"/>
  <c r="O351"/>
  <c r="N347"/>
  <c r="O329"/>
  <c r="O293"/>
  <c r="N188"/>
  <c r="N702"/>
  <c r="N698"/>
  <c r="N678"/>
  <c r="N633"/>
  <c r="N627"/>
  <c r="N611"/>
  <c r="N595"/>
  <c r="N557"/>
  <c r="N513"/>
  <c r="N509"/>
  <c r="N299"/>
  <c r="O443"/>
  <c r="O435"/>
  <c r="N415"/>
  <c r="O411"/>
  <c r="O358"/>
  <c r="O339"/>
  <c r="N310"/>
  <c r="O302"/>
  <c r="O283"/>
  <c r="N733"/>
  <c r="O722"/>
  <c r="O706"/>
  <c r="O702"/>
  <c r="O686"/>
  <c r="O659"/>
  <c r="O651"/>
  <c r="O647"/>
  <c r="N638"/>
  <c r="O633"/>
  <c r="N616"/>
  <c r="N612"/>
  <c r="N608"/>
  <c r="N604"/>
  <c r="O591"/>
  <c r="O309"/>
  <c r="O301"/>
  <c r="O273"/>
  <c r="N247"/>
  <c r="N228"/>
  <c r="O214"/>
  <c r="N166"/>
  <c r="O426"/>
  <c r="O414"/>
  <c r="O384"/>
  <c r="O376"/>
  <c r="O370"/>
  <c r="O354"/>
  <c r="O340"/>
  <c r="O328"/>
  <c r="N315"/>
  <c r="N222"/>
  <c r="O204"/>
  <c r="N200"/>
  <c r="N165"/>
  <c r="O141"/>
  <c r="N139"/>
  <c r="N73"/>
  <c r="N462"/>
  <c r="N432"/>
  <c r="N412"/>
  <c r="N110"/>
  <c r="N288"/>
  <c r="N280"/>
  <c r="O261"/>
  <c r="O258"/>
  <c r="N254"/>
  <c r="O238"/>
  <c r="N234"/>
  <c r="O223"/>
  <c r="O134"/>
  <c r="N126"/>
  <c r="N92"/>
  <c r="O78"/>
  <c r="O257"/>
  <c r="O241"/>
  <c r="O221"/>
  <c r="O203"/>
  <c r="N143"/>
  <c r="N124"/>
  <c r="N90"/>
  <c r="N77"/>
  <c r="O77"/>
  <c r="O54"/>
  <c r="O174"/>
  <c r="N130"/>
  <c r="O175"/>
  <c r="N132"/>
  <c r="O102"/>
  <c r="N64"/>
  <c r="N26"/>
  <c r="O9"/>
  <c r="N9"/>
  <c r="O121"/>
  <c r="O105"/>
  <c r="O99"/>
  <c r="O75"/>
  <c r="O82"/>
  <c r="N59"/>
  <c r="O53"/>
  <c r="O46"/>
  <c r="O35"/>
  <c r="O25"/>
  <c r="O5"/>
  <c r="N118"/>
  <c r="O85"/>
  <c r="O52"/>
  <c r="O86"/>
  <c r="N48"/>
  <c r="O58"/>
  <c r="O36"/>
  <c r="O4"/>
  <c r="N10"/>
  <c r="O22"/>
  <c r="O971"/>
  <c r="N959"/>
  <c r="O935"/>
  <c r="N893"/>
  <c r="O886"/>
  <c r="N877"/>
  <c r="O863"/>
  <c r="O860"/>
  <c r="O814"/>
  <c r="O797"/>
  <c r="N793"/>
  <c r="O786"/>
  <c r="O773"/>
  <c r="N752"/>
  <c r="O736"/>
  <c r="O683"/>
  <c r="O630"/>
  <c r="O588"/>
  <c r="O949"/>
  <c r="N945"/>
  <c r="O910"/>
  <c r="O857"/>
  <c r="N853"/>
  <c r="O823"/>
  <c r="N819"/>
  <c r="O783"/>
  <c r="N779"/>
  <c r="N605"/>
  <c r="O448"/>
  <c r="N1041"/>
  <c r="N1023"/>
  <c r="N1013"/>
  <c r="O961"/>
  <c r="O929"/>
  <c r="N925"/>
  <c r="N903"/>
  <c r="O899"/>
  <c r="N895"/>
  <c r="O882"/>
  <c r="O875"/>
  <c r="N843"/>
  <c r="O839"/>
  <c r="N835"/>
  <c r="N815"/>
  <c r="O805"/>
  <c r="N801"/>
  <c r="N772"/>
  <c r="N759"/>
  <c r="N751"/>
  <c r="O620"/>
  <c r="N770"/>
  <c r="O712"/>
  <c r="O705"/>
  <c r="N687"/>
  <c r="O677"/>
  <c r="N673"/>
  <c r="O661"/>
  <c r="O624"/>
  <c r="O578"/>
  <c r="O550"/>
  <c r="O524"/>
  <c r="N520"/>
  <c r="O508"/>
  <c r="O491"/>
  <c r="O488"/>
  <c r="N451"/>
  <c r="N438"/>
  <c r="O421"/>
  <c r="O417"/>
  <c r="N209"/>
  <c r="O968"/>
  <c r="O954"/>
  <c r="O940"/>
  <c r="O888"/>
  <c r="O708"/>
  <c r="O701"/>
  <c r="N697"/>
  <c r="N691"/>
  <c r="O618"/>
  <c r="N614"/>
  <c r="O540"/>
  <c r="O484"/>
  <c r="N480"/>
  <c r="O473"/>
  <c r="N425"/>
  <c r="O425"/>
  <c r="O295"/>
  <c r="N930"/>
  <c r="N918"/>
  <c r="N858"/>
  <c r="N850"/>
  <c r="O727"/>
  <c r="O726"/>
  <c r="O713"/>
  <c r="O662"/>
  <c r="N626"/>
  <c r="O598"/>
  <c r="N594"/>
  <c r="N568"/>
  <c r="O556"/>
  <c r="O487"/>
  <c r="O434"/>
  <c r="O386"/>
  <c r="N345"/>
  <c r="N246"/>
  <c r="O934"/>
  <c r="N927"/>
  <c r="O918"/>
  <c r="N907"/>
  <c r="N879"/>
  <c r="O858"/>
  <c r="O836"/>
  <c r="O826"/>
  <c r="O820"/>
  <c r="O816"/>
  <c r="O810"/>
  <c r="N803"/>
  <c r="N456"/>
  <c r="N457"/>
  <c r="O427"/>
  <c r="N359"/>
  <c r="O341"/>
  <c r="N306"/>
  <c r="N287"/>
  <c r="N274"/>
  <c r="N186"/>
  <c r="O696"/>
  <c r="O593"/>
  <c r="O585"/>
  <c r="O571"/>
  <c r="O549"/>
  <c r="O519"/>
  <c r="O497"/>
  <c r="O483"/>
  <c r="O467"/>
  <c r="O409"/>
  <c r="O456"/>
  <c r="O423"/>
  <c r="N385"/>
  <c r="O381"/>
  <c r="N377"/>
  <c r="O355"/>
  <c r="N351"/>
  <c r="O338"/>
  <c r="O330"/>
  <c r="N325"/>
  <c r="O152"/>
  <c r="N732"/>
  <c r="N728"/>
  <c r="N694"/>
  <c r="N688"/>
  <c r="N655"/>
  <c r="N607"/>
  <c r="N591"/>
  <c r="N569"/>
  <c r="N503"/>
  <c r="N499"/>
  <c r="N300"/>
  <c r="N443"/>
  <c r="N435"/>
  <c r="N411"/>
  <c r="N358"/>
  <c r="O326"/>
  <c r="N317"/>
  <c r="N302"/>
  <c r="O296"/>
  <c r="N291"/>
  <c r="O206"/>
  <c r="N723"/>
  <c r="N715"/>
  <c r="N707"/>
  <c r="O688"/>
  <c r="N671"/>
  <c r="N600"/>
  <c r="N592"/>
  <c r="O266"/>
  <c r="O218"/>
  <c r="N214"/>
  <c r="O189"/>
  <c r="N148"/>
  <c r="O424"/>
  <c r="O410"/>
  <c r="O392"/>
  <c r="O380"/>
  <c r="O360"/>
  <c r="O252"/>
  <c r="N335"/>
  <c r="N327"/>
  <c r="O299"/>
  <c r="O249"/>
  <c r="N204"/>
  <c r="O192"/>
  <c r="N164"/>
  <c r="N141"/>
  <c r="O73"/>
  <c r="N454"/>
  <c r="N440"/>
  <c r="N422"/>
  <c r="N418"/>
  <c r="O292"/>
  <c r="O284"/>
  <c r="N261"/>
  <c r="N258"/>
  <c r="N252"/>
  <c r="O242"/>
  <c r="N238"/>
  <c r="N223"/>
  <c r="O39"/>
  <c r="N176"/>
  <c r="N168"/>
  <c r="N150"/>
  <c r="O106"/>
  <c r="O269"/>
  <c r="O253"/>
  <c r="O237"/>
  <c r="O217"/>
  <c r="O199"/>
  <c r="N190"/>
  <c r="O127"/>
  <c r="O124"/>
  <c r="N111"/>
  <c r="N55"/>
  <c r="N303"/>
  <c r="N289"/>
  <c r="N281"/>
  <c r="N271"/>
  <c r="N267"/>
  <c r="N229"/>
  <c r="N225"/>
  <c r="N219"/>
  <c r="N215"/>
  <c r="O170"/>
  <c r="N134"/>
  <c r="O171"/>
  <c r="N154"/>
  <c r="O140"/>
  <c r="O117"/>
  <c r="O114"/>
  <c r="N102"/>
  <c r="O96"/>
  <c r="N29"/>
  <c r="O28"/>
  <c r="O26"/>
  <c r="O48"/>
  <c r="N37"/>
  <c r="N31"/>
  <c r="O14"/>
  <c r="O131"/>
  <c r="N82"/>
  <c r="O17"/>
  <c r="N5"/>
  <c r="N122"/>
  <c r="O112"/>
  <c r="O34"/>
  <c r="O11"/>
  <c r="N75"/>
  <c r="O37"/>
  <c r="N65"/>
  <c r="N12"/>
  <c r="N49"/>
  <c r="O32"/>
  <c r="N18"/>
  <c r="O20"/>
  <c r="N971"/>
  <c r="O956"/>
  <c r="O953"/>
  <c r="N935"/>
  <c r="N886"/>
  <c r="O867"/>
  <c r="N863"/>
  <c r="O844"/>
  <c r="N814"/>
  <c r="N797"/>
  <c r="N786"/>
  <c r="N773"/>
  <c r="O757"/>
  <c r="O739"/>
  <c r="N683"/>
  <c r="N630"/>
  <c r="N588"/>
  <c r="N949"/>
  <c r="N910"/>
  <c r="N857"/>
  <c r="O829"/>
  <c r="N823"/>
  <c r="N799"/>
  <c r="N783"/>
  <c r="O776"/>
  <c r="O749"/>
  <c r="N1027"/>
  <c r="N1000"/>
  <c r="N992"/>
  <c r="N976"/>
  <c r="O965"/>
  <c r="N961"/>
  <c r="O933"/>
  <c r="N929"/>
  <c r="O922"/>
  <c r="N899"/>
  <c r="N882"/>
  <c r="N875"/>
  <c r="O862"/>
  <c r="N839"/>
  <c r="N833"/>
  <c r="O825"/>
  <c r="O824"/>
  <c r="N813"/>
  <c r="O809"/>
  <c r="N805"/>
  <c r="N785"/>
  <c r="O750"/>
  <c r="O724"/>
  <c r="N620"/>
  <c r="O545"/>
  <c r="N405"/>
  <c r="O405"/>
  <c r="O276"/>
  <c r="O1043"/>
  <c r="O1027"/>
  <c r="O1019"/>
  <c r="O1009"/>
  <c r="O1000"/>
  <c r="O992"/>
  <c r="O976"/>
  <c r="N712"/>
  <c r="N705"/>
  <c r="O684"/>
  <c r="O681"/>
  <c r="N677"/>
  <c r="O670"/>
  <c r="N661"/>
  <c r="N624"/>
  <c r="O582"/>
  <c r="N578"/>
  <c r="O554"/>
  <c r="N550"/>
  <c r="O530"/>
  <c r="N524"/>
  <c r="O512"/>
  <c r="N508"/>
  <c r="N494"/>
  <c r="N491"/>
  <c r="N488"/>
  <c r="O464"/>
  <c r="O446"/>
  <c r="N430"/>
  <c r="N421"/>
  <c r="N417"/>
  <c r="N314"/>
  <c r="O964"/>
  <c r="O948"/>
  <c r="O936"/>
  <c r="O898"/>
  <c r="O870"/>
  <c r="O804"/>
  <c r="O800"/>
  <c r="O788"/>
  <c r="N452"/>
  <c r="N708"/>
  <c r="N701"/>
  <c r="N618"/>
  <c r="O606"/>
  <c r="N540"/>
  <c r="N528"/>
  <c r="O496"/>
  <c r="N484"/>
  <c r="N473"/>
  <c r="O364"/>
  <c r="N295"/>
  <c r="N966"/>
  <c r="N962"/>
  <c r="N950"/>
  <c r="N946"/>
  <c r="N840"/>
  <c r="N830"/>
  <c r="N820"/>
  <c r="O731"/>
  <c r="N727"/>
  <c r="O717"/>
  <c r="N713"/>
  <c r="N662"/>
  <c r="O602"/>
  <c r="N598"/>
  <c r="O574"/>
  <c r="O560"/>
  <c r="N556"/>
  <c r="N487"/>
  <c r="N442"/>
  <c r="N386"/>
  <c r="O371"/>
  <c r="O367"/>
  <c r="O930"/>
  <c r="N901"/>
  <c r="N887"/>
  <c r="O854"/>
  <c r="N845"/>
  <c r="N837"/>
  <c r="O830"/>
  <c r="N795"/>
  <c r="N791"/>
  <c r="N787"/>
  <c r="O780"/>
  <c r="N775"/>
  <c r="N767"/>
  <c r="N763"/>
  <c r="O760"/>
  <c r="N745"/>
  <c r="N741"/>
  <c r="O461"/>
  <c r="O453"/>
  <c r="N427"/>
  <c r="O342"/>
  <c r="N337"/>
  <c r="N279"/>
  <c r="O730"/>
  <c r="O682"/>
  <c r="O676"/>
  <c r="O672"/>
  <c r="O581"/>
  <c r="O567"/>
  <c r="O543"/>
  <c r="O515"/>
  <c r="O495"/>
  <c r="O489"/>
  <c r="N423"/>
  <c r="N381"/>
  <c r="O365"/>
  <c r="N355"/>
  <c r="N329"/>
  <c r="N293"/>
  <c r="O188"/>
  <c r="N722"/>
  <c r="N718"/>
  <c r="N686"/>
  <c r="N665"/>
  <c r="N651"/>
  <c r="N625"/>
  <c r="N603"/>
  <c r="N583"/>
  <c r="N579"/>
  <c r="N565"/>
  <c r="N555"/>
  <c r="N541"/>
  <c r="N535"/>
  <c r="O447"/>
  <c r="O439"/>
  <c r="O431"/>
  <c r="N409"/>
  <c r="O361"/>
  <c r="N296"/>
  <c r="N283"/>
  <c r="N206"/>
  <c r="N703"/>
  <c r="N675"/>
  <c r="O665"/>
  <c r="N652"/>
  <c r="N648"/>
  <c r="N644"/>
  <c r="O637"/>
  <c r="O625"/>
  <c r="O615"/>
  <c r="O611"/>
  <c r="O607"/>
  <c r="O603"/>
  <c r="O595"/>
  <c r="O311"/>
  <c r="O305"/>
  <c r="O277"/>
  <c r="O270"/>
  <c r="N266"/>
  <c r="O224"/>
  <c r="N218"/>
  <c r="O211"/>
  <c r="O166"/>
  <c r="O148"/>
  <c r="O420"/>
  <c r="O408"/>
  <c r="O396"/>
  <c r="O344"/>
  <c r="O324"/>
  <c r="N260"/>
  <c r="N249"/>
  <c r="O196"/>
  <c r="N192"/>
  <c r="O164"/>
  <c r="N458"/>
  <c r="N428"/>
  <c r="N153"/>
  <c r="N292"/>
  <c r="N284"/>
  <c r="O264"/>
  <c r="N242"/>
  <c r="O230"/>
  <c r="O94"/>
  <c r="O72"/>
  <c r="N39"/>
  <c r="O161"/>
  <c r="O157"/>
  <c r="O147"/>
  <c r="O130"/>
  <c r="O126"/>
  <c r="N106"/>
  <c r="O100"/>
  <c r="O263"/>
  <c r="O251"/>
  <c r="O233"/>
  <c r="O213"/>
  <c r="O195"/>
  <c r="O125"/>
  <c r="O55"/>
  <c r="O182"/>
  <c r="O183"/>
  <c r="O167"/>
  <c r="O143"/>
  <c r="N128"/>
  <c r="N114"/>
  <c r="O110"/>
  <c r="N96"/>
  <c r="O88"/>
  <c r="O29"/>
  <c r="N28"/>
  <c r="N27"/>
  <c r="N138"/>
  <c r="O109"/>
  <c r="O101"/>
  <c r="N14"/>
  <c r="O68"/>
  <c r="N17"/>
  <c r="N112"/>
  <c r="O81"/>
  <c r="N41"/>
  <c r="O21"/>
  <c r="O76"/>
  <c r="N23"/>
  <c r="O751"/>
  <c r="N956"/>
  <c r="N953"/>
  <c r="O889"/>
  <c r="O873"/>
  <c r="N867"/>
  <c r="N844"/>
  <c r="O789"/>
  <c r="N771"/>
  <c r="N757"/>
  <c r="N747"/>
  <c r="O743"/>
  <c r="N739"/>
  <c r="O407"/>
  <c r="O917"/>
  <c r="O849"/>
  <c r="N829"/>
  <c r="O798"/>
  <c r="N776"/>
  <c r="N749"/>
  <c r="O490"/>
  <c r="N448"/>
  <c r="N1005"/>
  <c r="N996"/>
  <c r="N981"/>
  <c r="O969"/>
  <c r="N965"/>
  <c r="O952"/>
  <c r="O937"/>
  <c r="N933"/>
  <c r="N922"/>
  <c r="O891"/>
  <c r="O872"/>
  <c r="N862"/>
  <c r="N825"/>
  <c r="N809"/>
  <c r="O784"/>
  <c r="O753"/>
  <c r="O738"/>
  <c r="N724"/>
  <c r="O664"/>
  <c r="O658"/>
  <c r="O654"/>
  <c r="O650"/>
  <c r="O646"/>
  <c r="O640"/>
  <c r="O636"/>
  <c r="O632"/>
  <c r="N545"/>
  <c r="O401"/>
  <c r="O397"/>
  <c r="O393"/>
  <c r="O389"/>
  <c r="N276"/>
  <c r="N684"/>
  <c r="N681"/>
  <c r="N670"/>
  <c r="O589"/>
  <c r="O586"/>
  <c r="N582"/>
  <c r="O573"/>
  <c r="O558"/>
  <c r="N554"/>
  <c r="O547"/>
  <c r="O534"/>
  <c r="N530"/>
  <c r="O516"/>
  <c r="N512"/>
  <c r="O505"/>
  <c r="O471"/>
  <c r="O468"/>
  <c r="N464"/>
  <c r="O438"/>
  <c r="O960"/>
  <c r="O944"/>
  <c r="O902"/>
  <c r="N460"/>
  <c r="O725"/>
  <c r="O693"/>
  <c r="O610"/>
  <c r="N606"/>
  <c r="O537"/>
  <c r="N496"/>
  <c r="O476"/>
  <c r="O450"/>
  <c r="O383"/>
  <c r="N364"/>
  <c r="N938"/>
  <c r="N916"/>
  <c r="N876"/>
  <c r="N854"/>
  <c r="O415"/>
  <c r="N731"/>
  <c r="O721"/>
  <c r="N717"/>
  <c r="O704"/>
  <c r="O685"/>
  <c r="O663"/>
  <c r="N602"/>
  <c r="O590"/>
  <c r="N574"/>
  <c r="O564"/>
  <c r="N560"/>
  <c r="O529"/>
  <c r="O506"/>
  <c r="N434"/>
  <c r="N371"/>
  <c r="N367"/>
  <c r="O345"/>
  <c r="O926"/>
  <c r="O916"/>
  <c r="N883"/>
  <c r="N865"/>
  <c r="N855"/>
  <c r="N821"/>
  <c r="N817"/>
  <c r="N811"/>
  <c r="N807"/>
  <c r="N461"/>
  <c r="N453"/>
  <c r="N341"/>
  <c r="O323"/>
  <c r="O319"/>
  <c r="O287"/>
  <c r="N33"/>
  <c r="O33"/>
  <c r="O641"/>
  <c r="O587"/>
  <c r="O563"/>
  <c r="O559"/>
  <c r="O539"/>
  <c r="O533"/>
  <c r="O527"/>
  <c r="O511"/>
  <c r="O493"/>
  <c r="O475"/>
  <c r="O460"/>
  <c r="O452"/>
  <c r="O406"/>
  <c r="O387"/>
  <c r="O373"/>
  <c r="N365"/>
  <c r="O347"/>
  <c r="O334"/>
  <c r="N152"/>
  <c r="N659"/>
  <c r="N647"/>
  <c r="N637"/>
  <c r="N615"/>
  <c r="N599"/>
  <c r="N561"/>
  <c r="N551"/>
  <c r="N531"/>
  <c r="N525"/>
  <c r="N521"/>
  <c r="N517"/>
  <c r="N447"/>
  <c r="N439"/>
  <c r="N431"/>
  <c r="N361"/>
  <c r="N321"/>
  <c r="O310"/>
  <c r="O291"/>
  <c r="O732"/>
  <c r="O718"/>
  <c r="N711"/>
  <c r="N689"/>
  <c r="N666"/>
  <c r="N628"/>
  <c r="O599"/>
  <c r="N270"/>
  <c r="O247"/>
  <c r="O228"/>
  <c r="N224"/>
  <c r="N211"/>
  <c r="O416"/>
  <c r="O404"/>
  <c r="O400"/>
  <c r="O372"/>
  <c r="O350"/>
  <c r="O208"/>
  <c r="O154"/>
  <c r="N343"/>
  <c r="N331"/>
  <c r="O320"/>
  <c r="O200"/>
  <c r="N196"/>
  <c r="O165"/>
  <c r="O139"/>
  <c r="N444"/>
  <c r="O288"/>
  <c r="O280"/>
  <c r="N264"/>
  <c r="O254"/>
  <c r="O234"/>
  <c r="N230"/>
  <c r="N208"/>
  <c r="N94"/>
  <c r="N72"/>
  <c r="N180"/>
  <c r="N172"/>
  <c r="N158"/>
  <c r="O149"/>
  <c r="N100"/>
  <c r="O92"/>
  <c r="N78"/>
  <c r="O259"/>
  <c r="O245"/>
  <c r="O227"/>
  <c r="O207"/>
  <c r="O156"/>
  <c r="N125"/>
  <c r="O111"/>
  <c r="O90"/>
  <c r="N54"/>
  <c r="N307"/>
  <c r="N297"/>
  <c r="N285"/>
  <c r="N275"/>
  <c r="N265"/>
  <c r="N255"/>
  <c r="N243"/>
  <c r="N239"/>
  <c r="N235"/>
  <c r="N231"/>
  <c r="N205"/>
  <c r="N201"/>
  <c r="N197"/>
  <c r="N193"/>
  <c r="O178"/>
  <c r="O179"/>
  <c r="N162"/>
  <c r="O153"/>
  <c r="N140"/>
  <c r="N117"/>
  <c r="N88"/>
  <c r="O64"/>
  <c r="O27"/>
  <c r="O31"/>
  <c r="N144"/>
  <c r="O60"/>
  <c r="O137"/>
  <c r="O118"/>
  <c r="N11"/>
  <c r="N69"/>
  <c r="N61"/>
  <c r="O40"/>
  <c r="O16"/>
  <c r="O42"/>
  <c r="O312"/>
  <c r="O185"/>
  <c r="N87"/>
  <c r="N622"/>
  <c r="O622"/>
  <c r="O13"/>
  <c r="O43"/>
  <c r="N973"/>
  <c r="O1030"/>
  <c r="O871"/>
  <c r="O79"/>
  <c r="N278"/>
  <c r="O921"/>
  <c r="N43"/>
  <c r="N847"/>
  <c r="N861"/>
  <c r="N1030"/>
  <c r="N42"/>
  <c r="N312"/>
  <c r="O642"/>
  <c r="N185"/>
  <c r="O278"/>
  <c r="O544"/>
  <c r="O1038"/>
  <c r="O87"/>
  <c r="N13"/>
  <c r="O973"/>
  <c r="N642"/>
  <c r="N576"/>
  <c r="O576"/>
  <c r="N668"/>
  <c r="O668"/>
  <c r="N871"/>
  <c r="N79"/>
  <c r="N544"/>
  <c r="N921"/>
  <c r="N1038"/>
  <c r="O847"/>
  <c r="O861"/>
  <c r="M3"/>
  <c r="M7"/>
  <c r="M15"/>
  <c r="M19"/>
  <c r="M6"/>
  <c r="L15"/>
  <c r="L19"/>
  <c r="M24"/>
  <c r="M38"/>
  <c r="M44"/>
  <c r="M50"/>
  <c r="M56"/>
  <c r="M62"/>
  <c r="M66"/>
  <c r="M70"/>
  <c r="L6"/>
  <c r="M8"/>
  <c r="M10"/>
  <c r="M23"/>
  <c r="L10"/>
  <c r="L18"/>
  <c r="M20"/>
  <c r="L44"/>
  <c r="L62"/>
  <c r="L66"/>
  <c r="L70"/>
  <c r="M80"/>
  <c r="M84"/>
  <c r="M98"/>
  <c r="M104"/>
  <c r="M108"/>
  <c r="M116"/>
  <c r="M4"/>
  <c r="L7"/>
  <c r="M22"/>
  <c r="L24"/>
  <c r="L38"/>
  <c r="M83"/>
  <c r="M89"/>
  <c r="M91"/>
  <c r="M93"/>
  <c r="M95"/>
  <c r="M97"/>
  <c r="M103"/>
  <c r="M107"/>
  <c r="M113"/>
  <c r="M115"/>
  <c r="M119"/>
  <c r="M123"/>
  <c r="M129"/>
  <c r="M133"/>
  <c r="M145"/>
  <c r="M151"/>
  <c r="M155"/>
  <c r="M159"/>
  <c r="M163"/>
  <c r="M169"/>
  <c r="M173"/>
  <c r="M177"/>
  <c r="M181"/>
  <c r="M187"/>
  <c r="M191"/>
  <c r="M18"/>
  <c r="L40"/>
  <c r="M58"/>
  <c r="L65"/>
  <c r="M67"/>
  <c r="L83"/>
  <c r="L121"/>
  <c r="L138"/>
  <c r="L14"/>
  <c r="M37"/>
  <c r="M45"/>
  <c r="M48"/>
  <c r="L58"/>
  <c r="M61"/>
  <c r="M69"/>
  <c r="M75"/>
  <c r="M120"/>
  <c r="M122"/>
  <c r="M16"/>
  <c r="L23"/>
  <c r="L36"/>
  <c r="L50"/>
  <c r="L61"/>
  <c r="M63"/>
  <c r="L69"/>
  <c r="M71"/>
  <c r="M81"/>
  <c r="L89"/>
  <c r="L91"/>
  <c r="L93"/>
  <c r="L95"/>
  <c r="L97"/>
  <c r="L103"/>
  <c r="L107"/>
  <c r="M112"/>
  <c r="L129"/>
  <c r="L133"/>
  <c r="L151"/>
  <c r="L155"/>
  <c r="L22"/>
  <c r="L31"/>
  <c r="L32"/>
  <c r="L115"/>
  <c r="L123"/>
  <c r="M124"/>
  <c r="M125"/>
  <c r="M126"/>
  <c r="M147"/>
  <c r="L149"/>
  <c r="M150"/>
  <c r="L157"/>
  <c r="M158"/>
  <c r="L161"/>
  <c r="L168"/>
  <c r="L172"/>
  <c r="L176"/>
  <c r="L180"/>
  <c r="L187"/>
  <c r="L191"/>
  <c r="M195"/>
  <c r="M199"/>
  <c r="M203"/>
  <c r="M207"/>
  <c r="M213"/>
  <c r="M217"/>
  <c r="M221"/>
  <c r="M227"/>
  <c r="M233"/>
  <c r="M237"/>
  <c r="M241"/>
  <c r="M245"/>
  <c r="M251"/>
  <c r="M253"/>
  <c r="M257"/>
  <c r="M259"/>
  <c r="M263"/>
  <c r="M269"/>
  <c r="L49"/>
  <c r="M65"/>
  <c r="L118"/>
  <c r="M136"/>
  <c r="L144"/>
  <c r="L169"/>
  <c r="L173"/>
  <c r="L177"/>
  <c r="L181"/>
  <c r="M194"/>
  <c r="M198"/>
  <c r="M202"/>
  <c r="M210"/>
  <c r="M212"/>
  <c r="M216"/>
  <c r="M220"/>
  <c r="M226"/>
  <c r="M232"/>
  <c r="M236"/>
  <c r="M240"/>
  <c r="M244"/>
  <c r="M248"/>
  <c r="M250"/>
  <c r="M256"/>
  <c r="M262"/>
  <c r="M268"/>
  <c r="M272"/>
  <c r="M282"/>
  <c r="M286"/>
  <c r="M290"/>
  <c r="M298"/>
  <c r="M304"/>
  <c r="M308"/>
  <c r="M316"/>
  <c r="M318"/>
  <c r="M322"/>
  <c r="M332"/>
  <c r="M336"/>
  <c r="M346"/>
  <c r="L56"/>
  <c r="L76"/>
  <c r="L112"/>
  <c r="L119"/>
  <c r="L131"/>
  <c r="M138"/>
  <c r="M190"/>
  <c r="M193"/>
  <c r="L194"/>
  <c r="M197"/>
  <c r="L198"/>
  <c r="M201"/>
  <c r="L202"/>
  <c r="M205"/>
  <c r="L210"/>
  <c r="L212"/>
  <c r="M215"/>
  <c r="L216"/>
  <c r="M219"/>
  <c r="L220"/>
  <c r="M225"/>
  <c r="L226"/>
  <c r="M229"/>
  <c r="M231"/>
  <c r="L232"/>
  <c r="M235"/>
  <c r="L236"/>
  <c r="M239"/>
  <c r="L240"/>
  <c r="M243"/>
  <c r="L244"/>
  <c r="L248"/>
  <c r="L250"/>
  <c r="M255"/>
  <c r="L256"/>
  <c r="L262"/>
  <c r="M265"/>
  <c r="M267"/>
  <c r="L268"/>
  <c r="M271"/>
  <c r="L272"/>
  <c r="M275"/>
  <c r="M281"/>
  <c r="L282"/>
  <c r="M285"/>
  <c r="L286"/>
  <c r="M289"/>
  <c r="L290"/>
  <c r="M297"/>
  <c r="L298"/>
  <c r="M303"/>
  <c r="L304"/>
  <c r="M307"/>
  <c r="L308"/>
  <c r="M34"/>
  <c r="L113"/>
  <c r="M148"/>
  <c r="L163"/>
  <c r="M164"/>
  <c r="M165"/>
  <c r="M166"/>
  <c r="M174"/>
  <c r="M182"/>
  <c r="M192"/>
  <c r="L193"/>
  <c r="M196"/>
  <c r="L197"/>
  <c r="M200"/>
  <c r="L201"/>
  <c r="M204"/>
  <c r="L205"/>
  <c r="L249"/>
  <c r="M273"/>
  <c r="M277"/>
  <c r="M301"/>
  <c r="M305"/>
  <c r="M309"/>
  <c r="M311"/>
  <c r="L316"/>
  <c r="L332"/>
  <c r="L336"/>
  <c r="M350"/>
  <c r="M354"/>
  <c r="M360"/>
  <c r="M370"/>
  <c r="M372"/>
  <c r="M376"/>
  <c r="M380"/>
  <c r="M384"/>
  <c r="M392"/>
  <c r="M396"/>
  <c r="M400"/>
  <c r="M404"/>
  <c r="M408"/>
  <c r="M410"/>
  <c r="M414"/>
  <c r="M416"/>
  <c r="M420"/>
  <c r="M424"/>
  <c r="M426"/>
  <c r="L114"/>
  <c r="M143"/>
  <c r="L145"/>
  <c r="L154"/>
  <c r="M168"/>
  <c r="M176"/>
  <c r="L211"/>
  <c r="M214"/>
  <c r="L215"/>
  <c r="M218"/>
  <c r="L219"/>
  <c r="M224"/>
  <c r="L225"/>
  <c r="M228"/>
  <c r="L229"/>
  <c r="L247"/>
  <c r="M266"/>
  <c r="L267"/>
  <c r="M270"/>
  <c r="L271"/>
  <c r="L297"/>
  <c r="M349"/>
  <c r="M353"/>
  <c r="M357"/>
  <c r="M363"/>
  <c r="M369"/>
  <c r="M375"/>
  <c r="M379"/>
  <c r="M391"/>
  <c r="M395"/>
  <c r="M399"/>
  <c r="M403"/>
  <c r="M413"/>
  <c r="M419"/>
  <c r="M429"/>
  <c r="M433"/>
  <c r="M437"/>
  <c r="M441"/>
  <c r="M445"/>
  <c r="M455"/>
  <c r="M459"/>
  <c r="M52"/>
  <c r="M121"/>
  <c r="L159"/>
  <c r="M170"/>
  <c r="M178"/>
  <c r="L190"/>
  <c r="L275"/>
  <c r="L303"/>
  <c r="L307"/>
  <c r="L318"/>
  <c r="L322"/>
  <c r="L346"/>
  <c r="M348"/>
  <c r="M352"/>
  <c r="M356"/>
  <c r="M362"/>
  <c r="M366"/>
  <c r="M368"/>
  <c r="M374"/>
  <c r="M378"/>
  <c r="M382"/>
  <c r="M388"/>
  <c r="M390"/>
  <c r="M394"/>
  <c r="M398"/>
  <c r="M402"/>
  <c r="M412"/>
  <c r="L413"/>
  <c r="M418"/>
  <c r="L419"/>
  <c r="M422"/>
  <c r="M428"/>
  <c r="L429"/>
  <c r="M432"/>
  <c r="M436"/>
  <c r="L437"/>
  <c r="M440"/>
  <c r="L441"/>
  <c r="M444"/>
  <c r="L445"/>
  <c r="M454"/>
  <c r="M458"/>
  <c r="L459"/>
  <c r="M180"/>
  <c r="M254"/>
  <c r="M258"/>
  <c r="M264"/>
  <c r="L281"/>
  <c r="L289"/>
  <c r="M299"/>
  <c r="L323"/>
  <c r="L327"/>
  <c r="L340"/>
  <c r="M347"/>
  <c r="L348"/>
  <c r="M351"/>
  <c r="L352"/>
  <c r="M355"/>
  <c r="L356"/>
  <c r="M365"/>
  <c r="L366"/>
  <c r="M373"/>
  <c r="L374"/>
  <c r="M377"/>
  <c r="L378"/>
  <c r="M381"/>
  <c r="L382"/>
  <c r="M387"/>
  <c r="L388"/>
  <c r="L406"/>
  <c r="M423"/>
  <c r="M453"/>
  <c r="M457"/>
  <c r="M461"/>
  <c r="M462"/>
  <c r="M463"/>
  <c r="M467"/>
  <c r="M469"/>
  <c r="M475"/>
  <c r="M479"/>
  <c r="M483"/>
  <c r="M489"/>
  <c r="M493"/>
  <c r="M495"/>
  <c r="M497"/>
  <c r="M501"/>
  <c r="M507"/>
  <c r="M511"/>
  <c r="M515"/>
  <c r="M519"/>
  <c r="M523"/>
  <c r="M527"/>
  <c r="M533"/>
  <c r="M539"/>
  <c r="M543"/>
  <c r="M549"/>
  <c r="M553"/>
  <c r="M559"/>
  <c r="M563"/>
  <c r="M567"/>
  <c r="M571"/>
  <c r="M577"/>
  <c r="M581"/>
  <c r="M585"/>
  <c r="M587"/>
  <c r="M593"/>
  <c r="M597"/>
  <c r="M601"/>
  <c r="M609"/>
  <c r="M613"/>
  <c r="M617"/>
  <c r="M621"/>
  <c r="M623"/>
  <c r="M629"/>
  <c r="M631"/>
  <c r="M635"/>
  <c r="M639"/>
  <c r="M641"/>
  <c r="M645"/>
  <c r="M649"/>
  <c r="M653"/>
  <c r="M657"/>
  <c r="M667"/>
  <c r="M669"/>
  <c r="M672"/>
  <c r="M676"/>
  <c r="M680"/>
  <c r="M682"/>
  <c r="M690"/>
  <c r="M692"/>
  <c r="M696"/>
  <c r="M700"/>
  <c r="M716"/>
  <c r="M720"/>
  <c r="M730"/>
  <c r="M734"/>
  <c r="M172"/>
  <c r="L223"/>
  <c r="L231"/>
  <c r="L235"/>
  <c r="L239"/>
  <c r="L243"/>
  <c r="L284"/>
  <c r="L292"/>
  <c r="L331"/>
  <c r="L335"/>
  <c r="L344"/>
  <c r="M359"/>
  <c r="M427"/>
  <c r="L428"/>
  <c r="L453"/>
  <c r="L454"/>
  <c r="L457"/>
  <c r="L458"/>
  <c r="L461"/>
  <c r="L462"/>
  <c r="M466"/>
  <c r="M472"/>
  <c r="M474"/>
  <c r="M478"/>
  <c r="M482"/>
  <c r="M486"/>
  <c r="M492"/>
  <c r="M500"/>
  <c r="M504"/>
  <c r="M510"/>
  <c r="M514"/>
  <c r="M518"/>
  <c r="M522"/>
  <c r="M526"/>
  <c r="M532"/>
  <c r="M536"/>
  <c r="M538"/>
  <c r="M542"/>
  <c r="M546"/>
  <c r="M548"/>
  <c r="M552"/>
  <c r="M562"/>
  <c r="M566"/>
  <c r="M570"/>
  <c r="M580"/>
  <c r="M584"/>
  <c r="M592"/>
  <c r="M596"/>
  <c r="M600"/>
  <c r="L601"/>
  <c r="M604"/>
  <c r="M608"/>
  <c r="L609"/>
  <c r="M612"/>
  <c r="L613"/>
  <c r="M616"/>
  <c r="L617"/>
  <c r="L621"/>
  <c r="L623"/>
  <c r="M628"/>
  <c r="L629"/>
  <c r="M634"/>
  <c r="L635"/>
  <c r="M638"/>
  <c r="L639"/>
  <c r="M644"/>
  <c r="L645"/>
  <c r="M648"/>
  <c r="L649"/>
  <c r="M652"/>
  <c r="L653"/>
  <c r="M656"/>
  <c r="M660"/>
  <c r="M666"/>
  <c r="L667"/>
  <c r="L669"/>
  <c r="M671"/>
  <c r="L672"/>
  <c r="M675"/>
  <c r="L676"/>
  <c r="M679"/>
  <c r="M689"/>
  <c r="L690"/>
  <c r="M695"/>
  <c r="M699"/>
  <c r="M703"/>
  <c r="M707"/>
  <c r="M711"/>
  <c r="M715"/>
  <c r="L716"/>
  <c r="M719"/>
  <c r="M723"/>
  <c r="M729"/>
  <c r="M733"/>
  <c r="L255"/>
  <c r="L261"/>
  <c r="L265"/>
  <c r="L285"/>
  <c r="L320"/>
  <c r="L343"/>
  <c r="L368"/>
  <c r="L390"/>
  <c r="L394"/>
  <c r="L398"/>
  <c r="L402"/>
  <c r="L418"/>
  <c r="L422"/>
  <c r="M465"/>
  <c r="M477"/>
  <c r="M481"/>
  <c r="M485"/>
  <c r="M499"/>
  <c r="L500"/>
  <c r="M503"/>
  <c r="M509"/>
  <c r="L510"/>
  <c r="M513"/>
  <c r="L514"/>
  <c r="M517"/>
  <c r="L518"/>
  <c r="M521"/>
  <c r="L522"/>
  <c r="M525"/>
  <c r="M531"/>
  <c r="M535"/>
  <c r="L536"/>
  <c r="M541"/>
  <c r="L542"/>
  <c r="L546"/>
  <c r="M551"/>
  <c r="L552"/>
  <c r="M555"/>
  <c r="M557"/>
  <c r="M561"/>
  <c r="M565"/>
  <c r="L566"/>
  <c r="M569"/>
  <c r="L570"/>
  <c r="M579"/>
  <c r="L580"/>
  <c r="M583"/>
  <c r="L584"/>
  <c r="M591"/>
  <c r="L592"/>
  <c r="M595"/>
  <c r="L596"/>
  <c r="M599"/>
  <c r="L600"/>
  <c r="M603"/>
  <c r="L604"/>
  <c r="M607"/>
  <c r="L608"/>
  <c r="M611"/>
  <c r="L612"/>
  <c r="M615"/>
  <c r="L616"/>
  <c r="M625"/>
  <c r="M627"/>
  <c r="L628"/>
  <c r="M633"/>
  <c r="L634"/>
  <c r="M637"/>
  <c r="L638"/>
  <c r="M647"/>
  <c r="L648"/>
  <c r="M651"/>
  <c r="L652"/>
  <c r="M655"/>
  <c r="L656"/>
  <c r="M659"/>
  <c r="L660"/>
  <c r="M665"/>
  <c r="M674"/>
  <c r="M678"/>
  <c r="L679"/>
  <c r="M686"/>
  <c r="M688"/>
  <c r="L689"/>
  <c r="M694"/>
  <c r="L695"/>
  <c r="M698"/>
  <c r="L699"/>
  <c r="M702"/>
  <c r="L703"/>
  <c r="M706"/>
  <c r="M710"/>
  <c r="M714"/>
  <c r="M718"/>
  <c r="L719"/>
  <c r="M722"/>
  <c r="L723"/>
  <c r="M728"/>
  <c r="L729"/>
  <c r="M732"/>
  <c r="L733"/>
  <c r="M230"/>
  <c r="M238"/>
  <c r="L315"/>
  <c r="M411"/>
  <c r="L432"/>
  <c r="L440"/>
  <c r="L477"/>
  <c r="L481"/>
  <c r="L485"/>
  <c r="L541"/>
  <c r="L607"/>
  <c r="L611"/>
  <c r="L615"/>
  <c r="L694"/>
  <c r="L698"/>
  <c r="L702"/>
  <c r="L734"/>
  <c r="M742"/>
  <c r="M746"/>
  <c r="M748"/>
  <c r="M756"/>
  <c r="M764"/>
  <c r="M768"/>
  <c r="M778"/>
  <c r="M782"/>
  <c r="M788"/>
  <c r="M792"/>
  <c r="M796"/>
  <c r="M800"/>
  <c r="M804"/>
  <c r="M808"/>
  <c r="M812"/>
  <c r="M822"/>
  <c r="M832"/>
  <c r="M834"/>
  <c r="M838"/>
  <c r="M842"/>
  <c r="M846"/>
  <c r="M848"/>
  <c r="M852"/>
  <c r="M856"/>
  <c r="M866"/>
  <c r="M870"/>
  <c r="M880"/>
  <c r="M888"/>
  <c r="M898"/>
  <c r="M902"/>
  <c r="M904"/>
  <c r="M908"/>
  <c r="M914"/>
  <c r="M924"/>
  <c r="M928"/>
  <c r="M932"/>
  <c r="M936"/>
  <c r="M940"/>
  <c r="M942"/>
  <c r="M944"/>
  <c r="M948"/>
  <c r="M954"/>
  <c r="M958"/>
  <c r="M960"/>
  <c r="M964"/>
  <c r="M968"/>
  <c r="M972"/>
  <c r="M156"/>
  <c r="L358"/>
  <c r="L362"/>
  <c r="L435"/>
  <c r="L443"/>
  <c r="M452"/>
  <c r="M460"/>
  <c r="M464"/>
  <c r="L465"/>
  <c r="M468"/>
  <c r="L471"/>
  <c r="M488"/>
  <c r="L491"/>
  <c r="L505"/>
  <c r="M508"/>
  <c r="L509"/>
  <c r="M512"/>
  <c r="L513"/>
  <c r="M516"/>
  <c r="L517"/>
  <c r="M520"/>
  <c r="L521"/>
  <c r="M524"/>
  <c r="L525"/>
  <c r="M530"/>
  <c r="L531"/>
  <c r="M534"/>
  <c r="L535"/>
  <c r="L547"/>
  <c r="M550"/>
  <c r="L551"/>
  <c r="M554"/>
  <c r="L555"/>
  <c r="M558"/>
  <c r="L573"/>
  <c r="M578"/>
  <c r="L579"/>
  <c r="M582"/>
  <c r="L583"/>
  <c r="M586"/>
  <c r="L589"/>
  <c r="M624"/>
  <c r="L625"/>
  <c r="L661"/>
  <c r="L670"/>
  <c r="M673"/>
  <c r="L674"/>
  <c r="M677"/>
  <c r="L678"/>
  <c r="M681"/>
  <c r="L684"/>
  <c r="M687"/>
  <c r="L688"/>
  <c r="M705"/>
  <c r="L706"/>
  <c r="L712"/>
  <c r="M741"/>
  <c r="L742"/>
  <c r="M745"/>
  <c r="L746"/>
  <c r="L748"/>
  <c r="L756"/>
  <c r="M761"/>
  <c r="M763"/>
  <c r="L764"/>
  <c r="M767"/>
  <c r="L768"/>
  <c r="M775"/>
  <c r="M777"/>
  <c r="L778"/>
  <c r="M781"/>
  <c r="L782"/>
  <c r="M787"/>
  <c r="L788"/>
  <c r="M791"/>
  <c r="L792"/>
  <c r="M795"/>
  <c r="L796"/>
  <c r="L800"/>
  <c r="M803"/>
  <c r="L804"/>
  <c r="M807"/>
  <c r="L808"/>
  <c r="M811"/>
  <c r="L812"/>
  <c r="M817"/>
  <c r="M821"/>
  <c r="L822"/>
  <c r="M827"/>
  <c r="M831"/>
  <c r="L834"/>
  <c r="M837"/>
  <c r="L838"/>
  <c r="M841"/>
  <c r="L842"/>
  <c r="M845"/>
  <c r="L846"/>
  <c r="M851"/>
  <c r="L852"/>
  <c r="M855"/>
  <c r="L856"/>
  <c r="M865"/>
  <c r="L866"/>
  <c r="M869"/>
  <c r="M879"/>
  <c r="L880"/>
  <c r="M883"/>
  <c r="M885"/>
  <c r="M887"/>
  <c r="L888"/>
  <c r="M897"/>
  <c r="L898"/>
  <c r="M901"/>
  <c r="L902"/>
  <c r="L904"/>
  <c r="M907"/>
  <c r="L908"/>
  <c r="M913"/>
  <c r="L914"/>
  <c r="M923"/>
  <c r="M927"/>
  <c r="M931"/>
  <c r="L932"/>
  <c r="M939"/>
  <c r="M947"/>
  <c r="M951"/>
  <c r="M957"/>
  <c r="M963"/>
  <c r="M967"/>
  <c r="M234"/>
  <c r="M242"/>
  <c r="L280"/>
  <c r="L288"/>
  <c r="L412"/>
  <c r="L436"/>
  <c r="L444"/>
  <c r="L499"/>
  <c r="L503"/>
  <c r="L633"/>
  <c r="L637"/>
  <c r="L647"/>
  <c r="L651"/>
  <c r="L655"/>
  <c r="L659"/>
  <c r="L665"/>
  <c r="L710"/>
  <c r="M740"/>
  <c r="M744"/>
  <c r="M758"/>
  <c r="M760"/>
  <c r="M766"/>
  <c r="M774"/>
  <c r="M780"/>
  <c r="M790"/>
  <c r="M794"/>
  <c r="M802"/>
  <c r="M806"/>
  <c r="M810"/>
  <c r="M816"/>
  <c r="M820"/>
  <c r="L821"/>
  <c r="M826"/>
  <c r="M830"/>
  <c r="L831"/>
  <c r="M836"/>
  <c r="L837"/>
  <c r="M840"/>
  <c r="L841"/>
  <c r="M850"/>
  <c r="L851"/>
  <c r="M854"/>
  <c r="L855"/>
  <c r="M858"/>
  <c r="M864"/>
  <c r="M868"/>
  <c r="L869"/>
  <c r="M874"/>
  <c r="M876"/>
  <c r="M878"/>
  <c r="M890"/>
  <c r="M892"/>
  <c r="M894"/>
  <c r="M896"/>
  <c r="M900"/>
  <c r="M906"/>
  <c r="M912"/>
  <c r="L913"/>
  <c r="M916"/>
  <c r="M918"/>
  <c r="L923"/>
  <c r="M926"/>
  <c r="L927"/>
  <c r="M930"/>
  <c r="L931"/>
  <c r="M934"/>
  <c r="M938"/>
  <c r="L939"/>
  <c r="M946"/>
  <c r="L947"/>
  <c r="M950"/>
  <c r="L951"/>
  <c r="L957"/>
  <c r="M962"/>
  <c r="L963"/>
  <c r="M966"/>
  <c r="L967"/>
  <c r="M970"/>
  <c r="L324"/>
  <c r="L431"/>
  <c r="L439"/>
  <c r="L447"/>
  <c r="L529"/>
  <c r="M556"/>
  <c r="M560"/>
  <c r="M564"/>
  <c r="M568"/>
  <c r="L627"/>
  <c r="L714"/>
  <c r="L718"/>
  <c r="L722"/>
  <c r="M749"/>
  <c r="L776"/>
  <c r="M779"/>
  <c r="L780"/>
  <c r="M783"/>
  <c r="M819"/>
  <c r="L820"/>
  <c r="M823"/>
  <c r="M829"/>
  <c r="L830"/>
  <c r="M849"/>
  <c r="L850"/>
  <c r="M853"/>
  <c r="L854"/>
  <c r="M857"/>
  <c r="L858"/>
  <c r="L910"/>
  <c r="M917"/>
  <c r="L918"/>
  <c r="M945"/>
  <c r="L946"/>
  <c r="M949"/>
  <c r="L950"/>
  <c r="M979"/>
  <c r="M983"/>
  <c r="M990"/>
  <c r="M994"/>
  <c r="M1003"/>
  <c r="M1007"/>
  <c r="M1011"/>
  <c r="M1021"/>
  <c r="M1025"/>
  <c r="M1035"/>
  <c r="M1039"/>
  <c r="M1045"/>
  <c r="M574"/>
  <c r="L591"/>
  <c r="L595"/>
  <c r="L599"/>
  <c r="L603"/>
  <c r="L686"/>
  <c r="L704"/>
  <c r="L728"/>
  <c r="L732"/>
  <c r="L740"/>
  <c r="L744"/>
  <c r="L758"/>
  <c r="L774"/>
  <c r="L790"/>
  <c r="L794"/>
  <c r="L864"/>
  <c r="L868"/>
  <c r="L874"/>
  <c r="L878"/>
  <c r="L890"/>
  <c r="L894"/>
  <c r="M982"/>
  <c r="M988"/>
  <c r="M993"/>
  <c r="M997"/>
  <c r="M1001"/>
  <c r="M1006"/>
  <c r="M1010"/>
  <c r="M1020"/>
  <c r="M1024"/>
  <c r="M1032"/>
  <c r="M1034"/>
  <c r="M1044"/>
  <c r="L328"/>
  <c r="M456"/>
  <c r="M506"/>
  <c r="L557"/>
  <c r="L561"/>
  <c r="L565"/>
  <c r="L569"/>
  <c r="M626"/>
  <c r="M713"/>
  <c r="M717"/>
  <c r="M721"/>
  <c r="L766"/>
  <c r="L906"/>
  <c r="L912"/>
  <c r="L916"/>
  <c r="M976"/>
  <c r="M981"/>
  <c r="L982"/>
  <c r="L988"/>
  <c r="M992"/>
  <c r="L993"/>
  <c r="M996"/>
  <c r="L997"/>
  <c r="M1000"/>
  <c r="L1001"/>
  <c r="M1005"/>
  <c r="L1006"/>
  <c r="M1009"/>
  <c r="L1010"/>
  <c r="M1013"/>
  <c r="M1019"/>
  <c r="L1020"/>
  <c r="M1023"/>
  <c r="L1024"/>
  <c r="M1027"/>
  <c r="L1032"/>
  <c r="L1034"/>
  <c r="M1041"/>
  <c r="M1043"/>
  <c r="L1044"/>
  <c r="M361"/>
  <c r="L487"/>
  <c r="M662"/>
  <c r="M753"/>
  <c r="L802"/>
  <c r="L806"/>
  <c r="L810"/>
  <c r="M825"/>
  <c r="L922"/>
  <c r="L926"/>
  <c r="L930"/>
  <c r="L934"/>
  <c r="L938"/>
  <c r="L962"/>
  <c r="L966"/>
  <c r="L970"/>
  <c r="L981"/>
  <c r="L1000"/>
  <c r="M594"/>
  <c r="M602"/>
  <c r="M727"/>
  <c r="L738"/>
  <c r="M759"/>
  <c r="L816"/>
  <c r="M835"/>
  <c r="M839"/>
  <c r="L862"/>
  <c r="L872"/>
  <c r="L876"/>
  <c r="L882"/>
  <c r="M891"/>
  <c r="M895"/>
  <c r="M899"/>
  <c r="L987"/>
  <c r="L1017"/>
  <c r="M1028"/>
  <c r="L1033"/>
  <c r="M1036"/>
  <c r="M1042"/>
  <c r="L1043"/>
  <c r="M1046"/>
  <c r="M801"/>
  <c r="M805"/>
  <c r="M809"/>
  <c r="L826"/>
  <c r="M925"/>
  <c r="M929"/>
  <c r="M933"/>
  <c r="M937"/>
  <c r="M961"/>
  <c r="M965"/>
  <c r="M969"/>
  <c r="L976"/>
  <c r="L1005"/>
  <c r="L1009"/>
  <c r="L1013"/>
  <c r="M82"/>
  <c r="M161"/>
  <c r="M590"/>
  <c r="M598"/>
  <c r="M685"/>
  <c r="M731"/>
  <c r="L760"/>
  <c r="L772"/>
  <c r="M815"/>
  <c r="L836"/>
  <c r="L840"/>
  <c r="M875"/>
  <c r="L892"/>
  <c r="L896"/>
  <c r="L900"/>
  <c r="L952"/>
  <c r="M991"/>
  <c r="L992"/>
  <c r="M995"/>
  <c r="L996"/>
  <c r="L1002"/>
  <c r="M1018"/>
  <c r="L1019"/>
  <c r="M1022"/>
  <c r="L1023"/>
  <c r="M1026"/>
  <c r="L1027"/>
  <c r="M1040"/>
  <c r="L1041"/>
  <c r="M1016"/>
  <c r="L1004"/>
  <c r="L986"/>
  <c r="L915"/>
  <c r="L911"/>
  <c r="L1036"/>
  <c r="L941"/>
  <c r="M828"/>
  <c r="L1007"/>
  <c r="L1045"/>
  <c r="L998"/>
  <c r="L1015"/>
  <c r="L985"/>
  <c r="M974"/>
  <c r="L1026"/>
  <c r="L995"/>
  <c r="M769"/>
  <c r="M765"/>
  <c r="L643"/>
  <c r="M502"/>
  <c r="L1016"/>
  <c r="L1008"/>
  <c r="M998"/>
  <c r="L975"/>
  <c r="M915"/>
  <c r="M911"/>
  <c r="M909"/>
  <c r="L905"/>
  <c r="L709"/>
  <c r="M575"/>
  <c r="M1037"/>
  <c r="M1033"/>
  <c r="L1028"/>
  <c r="M987"/>
  <c r="L1031"/>
  <c r="M1004"/>
  <c r="L999"/>
  <c r="L980"/>
  <c r="M978"/>
  <c r="L919"/>
  <c r="L979"/>
  <c r="L1040"/>
  <c r="M643"/>
  <c r="M1031"/>
  <c r="L1012"/>
  <c r="L909"/>
  <c r="M905"/>
  <c r="L762"/>
  <c r="M709"/>
  <c r="L575"/>
  <c r="L1042"/>
  <c r="L1037"/>
  <c r="M1029"/>
  <c r="M1017"/>
  <c r="L859"/>
  <c r="M754"/>
  <c r="L735"/>
  <c r="L1011"/>
  <c r="L1003"/>
  <c r="L1035"/>
  <c r="M1008"/>
  <c r="M975"/>
  <c r="L1014"/>
  <c r="M989"/>
  <c r="L984"/>
  <c r="L978"/>
  <c r="M955"/>
  <c r="M919"/>
  <c r="L884"/>
  <c r="L818"/>
  <c r="M755"/>
  <c r="L1018"/>
  <c r="L943"/>
  <c r="M920"/>
  <c r="M986"/>
  <c r="M762"/>
  <c r="L1046"/>
  <c r="L1029"/>
  <c r="M941"/>
  <c r="M859"/>
  <c r="L828"/>
  <c r="L754"/>
  <c r="M735"/>
  <c r="M1012"/>
  <c r="M1015"/>
  <c r="M985"/>
  <c r="L977"/>
  <c r="L955"/>
  <c r="M884"/>
  <c r="M818"/>
  <c r="L755"/>
  <c r="L983"/>
  <c r="L942"/>
  <c r="L1022"/>
  <c r="M1002"/>
  <c r="L991"/>
  <c r="M943"/>
  <c r="L920"/>
  <c r="L769"/>
  <c r="L765"/>
  <c r="L502"/>
  <c r="L498"/>
  <c r="L1021"/>
  <c r="L990"/>
  <c r="M980"/>
  <c r="L974"/>
  <c r="L959"/>
  <c r="L893"/>
  <c r="M886"/>
  <c r="L877"/>
  <c r="M860"/>
  <c r="M814"/>
  <c r="L793"/>
  <c r="M786"/>
  <c r="L770"/>
  <c r="M736"/>
  <c r="M683"/>
  <c r="M630"/>
  <c r="M588"/>
  <c r="M407"/>
  <c r="L945"/>
  <c r="M910"/>
  <c r="L853"/>
  <c r="L819"/>
  <c r="M799"/>
  <c r="L779"/>
  <c r="M953"/>
  <c r="L944"/>
  <c r="M893"/>
  <c r="M873"/>
  <c r="M797"/>
  <c r="M739"/>
  <c r="L657"/>
  <c r="L925"/>
  <c r="L903"/>
  <c r="L895"/>
  <c r="M882"/>
  <c r="L843"/>
  <c r="L835"/>
  <c r="M833"/>
  <c r="L815"/>
  <c r="M813"/>
  <c r="L801"/>
  <c r="M785"/>
  <c r="L759"/>
  <c r="L751"/>
  <c r="L724"/>
  <c r="M664"/>
  <c r="M658"/>
  <c r="M654"/>
  <c r="M650"/>
  <c r="M646"/>
  <c r="M640"/>
  <c r="M636"/>
  <c r="M632"/>
  <c r="M620"/>
  <c r="L545"/>
  <c r="M405"/>
  <c r="M401"/>
  <c r="M397"/>
  <c r="M393"/>
  <c r="M389"/>
  <c r="M276"/>
  <c r="L954"/>
  <c r="L936"/>
  <c r="L924"/>
  <c r="L497"/>
  <c r="L416"/>
  <c r="M712"/>
  <c r="L687"/>
  <c r="L673"/>
  <c r="M661"/>
  <c r="L520"/>
  <c r="M494"/>
  <c r="M491"/>
  <c r="M438"/>
  <c r="L430"/>
  <c r="L314"/>
  <c r="L901"/>
  <c r="L845"/>
  <c r="L791"/>
  <c r="L781"/>
  <c r="L763"/>
  <c r="L585"/>
  <c r="L577"/>
  <c r="L533"/>
  <c r="L526"/>
  <c r="L519"/>
  <c r="L511"/>
  <c r="L492"/>
  <c r="L463"/>
  <c r="M320"/>
  <c r="M708"/>
  <c r="L697"/>
  <c r="L691"/>
  <c r="L614"/>
  <c r="M528"/>
  <c r="L480"/>
  <c r="M473"/>
  <c r="L425"/>
  <c r="M383"/>
  <c r="L364"/>
  <c r="M295"/>
  <c r="L295"/>
  <c r="L700"/>
  <c r="L692"/>
  <c r="L543"/>
  <c r="L495"/>
  <c r="L479"/>
  <c r="L403"/>
  <c r="M726"/>
  <c r="L626"/>
  <c r="L619"/>
  <c r="L594"/>
  <c r="L568"/>
  <c r="M487"/>
  <c r="L442"/>
  <c r="M386"/>
  <c r="L246"/>
  <c r="L720"/>
  <c r="M701"/>
  <c r="M606"/>
  <c r="L593"/>
  <c r="L587"/>
  <c r="L559"/>
  <c r="L537"/>
  <c r="M480"/>
  <c r="L469"/>
  <c r="L404"/>
  <c r="L359"/>
  <c r="M342"/>
  <c r="M337"/>
  <c r="M319"/>
  <c r="L306"/>
  <c r="M287"/>
  <c r="L279"/>
  <c r="L274"/>
  <c r="L715"/>
  <c r="L675"/>
  <c r="L644"/>
  <c r="L433"/>
  <c r="L426"/>
  <c r="M331"/>
  <c r="L385"/>
  <c r="L377"/>
  <c r="L351"/>
  <c r="L329"/>
  <c r="M329"/>
  <c r="L293"/>
  <c r="L188"/>
  <c r="L379"/>
  <c r="L357"/>
  <c r="L349"/>
  <c r="L411"/>
  <c r="M409"/>
  <c r="L339"/>
  <c r="L302"/>
  <c r="M296"/>
  <c r="M291"/>
  <c r="L283"/>
  <c r="L410"/>
  <c r="M328"/>
  <c r="L309"/>
  <c r="L301"/>
  <c r="L273"/>
  <c r="L214"/>
  <c r="L166"/>
  <c r="L269"/>
  <c r="L259"/>
  <c r="L221"/>
  <c r="L213"/>
  <c r="M167"/>
  <c r="L300"/>
  <c r="M260"/>
  <c r="M249"/>
  <c r="L204"/>
  <c r="M141"/>
  <c r="L73"/>
  <c r="L251"/>
  <c r="L258"/>
  <c r="L252"/>
  <c r="L238"/>
  <c r="M94"/>
  <c r="M72"/>
  <c r="L253"/>
  <c r="M160"/>
  <c r="M157"/>
  <c r="L134"/>
  <c r="L126"/>
  <c r="M100"/>
  <c r="L125"/>
  <c r="M111"/>
  <c r="L54"/>
  <c r="L150"/>
  <c r="L147"/>
  <c r="L143"/>
  <c r="L132"/>
  <c r="M128"/>
  <c r="M110"/>
  <c r="L102"/>
  <c r="M88"/>
  <c r="M27"/>
  <c r="M26"/>
  <c r="L136"/>
  <c r="L105"/>
  <c r="L99"/>
  <c r="L116"/>
  <c r="L86"/>
  <c r="M68"/>
  <c r="L59"/>
  <c r="L108"/>
  <c r="M49"/>
  <c r="L85"/>
  <c r="L57"/>
  <c r="M41"/>
  <c r="M109"/>
  <c r="M101"/>
  <c r="L74"/>
  <c r="M36"/>
  <c r="L30"/>
  <c r="M21"/>
  <c r="L12"/>
  <c r="M74"/>
  <c r="L4"/>
  <c r="M1014"/>
  <c r="M999"/>
  <c r="M984"/>
  <c r="L971"/>
  <c r="M956"/>
  <c r="L935"/>
  <c r="L863"/>
  <c r="L860"/>
  <c r="M844"/>
  <c r="L797"/>
  <c r="L773"/>
  <c r="M771"/>
  <c r="M747"/>
  <c r="L736"/>
  <c r="L683"/>
  <c r="L630"/>
  <c r="L588"/>
  <c r="L870"/>
  <c r="L949"/>
  <c r="L857"/>
  <c r="L823"/>
  <c r="L799"/>
  <c r="L783"/>
  <c r="M776"/>
  <c r="L448"/>
  <c r="L956"/>
  <c r="M877"/>
  <c r="M863"/>
  <c r="L848"/>
  <c r="L814"/>
  <c r="L786"/>
  <c r="M773"/>
  <c r="M743"/>
  <c r="L961"/>
  <c r="L929"/>
  <c r="M922"/>
  <c r="L899"/>
  <c r="L875"/>
  <c r="M862"/>
  <c r="L839"/>
  <c r="L833"/>
  <c r="M824"/>
  <c r="L813"/>
  <c r="L805"/>
  <c r="L785"/>
  <c r="M750"/>
  <c r="M724"/>
  <c r="L620"/>
  <c r="M545"/>
  <c r="L405"/>
  <c r="L972"/>
  <c r="L964"/>
  <c r="L501"/>
  <c r="L420"/>
  <c r="L705"/>
  <c r="M684"/>
  <c r="L677"/>
  <c r="M670"/>
  <c r="L624"/>
  <c r="L578"/>
  <c r="L550"/>
  <c r="L524"/>
  <c r="L508"/>
  <c r="L494"/>
  <c r="L488"/>
  <c r="L451"/>
  <c r="M430"/>
  <c r="L421"/>
  <c r="L417"/>
  <c r="L907"/>
  <c r="L883"/>
  <c r="L817"/>
  <c r="L777"/>
  <c r="L761"/>
  <c r="L553"/>
  <c r="L527"/>
  <c r="L493"/>
  <c r="L466"/>
  <c r="L369"/>
  <c r="L701"/>
  <c r="L618"/>
  <c r="L540"/>
  <c r="L528"/>
  <c r="L484"/>
  <c r="M364"/>
  <c r="L538"/>
  <c r="L482"/>
  <c r="L474"/>
  <c r="L391"/>
  <c r="L727"/>
  <c r="L726"/>
  <c r="L713"/>
  <c r="L662"/>
  <c r="L598"/>
  <c r="L556"/>
  <c r="M442"/>
  <c r="L434"/>
  <c r="L345"/>
  <c r="L730"/>
  <c r="L682"/>
  <c r="M610"/>
  <c r="L567"/>
  <c r="M540"/>
  <c r="M484"/>
  <c r="L392"/>
  <c r="L427"/>
  <c r="L341"/>
  <c r="M341"/>
  <c r="M323"/>
  <c r="M279"/>
  <c r="M33"/>
  <c r="L711"/>
  <c r="M443"/>
  <c r="M435"/>
  <c r="M335"/>
  <c r="L456"/>
  <c r="L423"/>
  <c r="L381"/>
  <c r="L355"/>
  <c r="L338"/>
  <c r="M334"/>
  <c r="L330"/>
  <c r="L325"/>
  <c r="M293"/>
  <c r="L152"/>
  <c r="L380"/>
  <c r="L372"/>
  <c r="L350"/>
  <c r="M449"/>
  <c r="L409"/>
  <c r="M339"/>
  <c r="L326"/>
  <c r="M321"/>
  <c r="L317"/>
  <c r="M310"/>
  <c r="M283"/>
  <c r="L206"/>
  <c r="M333"/>
  <c r="L266"/>
  <c r="L218"/>
  <c r="M211"/>
  <c r="L189"/>
  <c r="M292"/>
  <c r="M284"/>
  <c r="M175"/>
  <c r="M131"/>
  <c r="L299"/>
  <c r="L260"/>
  <c r="L192"/>
  <c r="L165"/>
  <c r="L141"/>
  <c r="L139"/>
  <c r="M139"/>
  <c r="M73"/>
  <c r="L203"/>
  <c r="L195"/>
  <c r="L242"/>
  <c r="M208"/>
  <c r="M39"/>
  <c r="L241"/>
  <c r="L233"/>
  <c r="M171"/>
  <c r="M137"/>
  <c r="L178"/>
  <c r="L170"/>
  <c r="M149"/>
  <c r="L146"/>
  <c r="M134"/>
  <c r="L106"/>
  <c r="M92"/>
  <c r="L183"/>
  <c r="L175"/>
  <c r="L167"/>
  <c r="L153"/>
  <c r="M118"/>
  <c r="M127"/>
  <c r="M90"/>
  <c r="L55"/>
  <c r="L158"/>
  <c r="M78"/>
  <c r="L160"/>
  <c r="M153"/>
  <c r="L117"/>
  <c r="L110"/>
  <c r="L96"/>
  <c r="M64"/>
  <c r="L29"/>
  <c r="L28"/>
  <c r="L26"/>
  <c r="M31"/>
  <c r="M51"/>
  <c r="L142"/>
  <c r="M60"/>
  <c r="L17"/>
  <c r="L5"/>
  <c r="M76"/>
  <c r="M135"/>
  <c r="M57"/>
  <c r="L41"/>
  <c r="M11"/>
  <c r="M53"/>
  <c r="L67"/>
  <c r="L51"/>
  <c r="L20"/>
  <c r="L1025"/>
  <c r="L994"/>
  <c r="M977"/>
  <c r="L953"/>
  <c r="M881"/>
  <c r="L867"/>
  <c r="L771"/>
  <c r="L757"/>
  <c r="L747"/>
  <c r="L739"/>
  <c r="M737"/>
  <c r="L829"/>
  <c r="M798"/>
  <c r="L749"/>
  <c r="L605"/>
  <c r="M490"/>
  <c r="M448"/>
  <c r="M959"/>
  <c r="L948"/>
  <c r="L886"/>
  <c r="M867"/>
  <c r="L832"/>
  <c r="M789"/>
  <c r="L752"/>
  <c r="L504"/>
  <c r="L965"/>
  <c r="M952"/>
  <c r="L933"/>
  <c r="M872"/>
  <c r="L825"/>
  <c r="L824"/>
  <c r="L809"/>
  <c r="M784"/>
  <c r="L750"/>
  <c r="M738"/>
  <c r="L276"/>
  <c r="L940"/>
  <c r="L681"/>
  <c r="M589"/>
  <c r="L582"/>
  <c r="M573"/>
  <c r="L554"/>
  <c r="M547"/>
  <c r="L530"/>
  <c r="L512"/>
  <c r="M505"/>
  <c r="M471"/>
  <c r="L464"/>
  <c r="L446"/>
  <c r="M421"/>
  <c r="M417"/>
  <c r="M314"/>
  <c r="L209"/>
  <c r="L887"/>
  <c r="L811"/>
  <c r="L775"/>
  <c r="L745"/>
  <c r="L680"/>
  <c r="L581"/>
  <c r="L548"/>
  <c r="L523"/>
  <c r="L515"/>
  <c r="L507"/>
  <c r="L467"/>
  <c r="L606"/>
  <c r="M537"/>
  <c r="L496"/>
  <c r="M450"/>
  <c r="L450"/>
  <c r="L696"/>
  <c r="L539"/>
  <c r="L483"/>
  <c r="L475"/>
  <c r="L395"/>
  <c r="L731"/>
  <c r="L717"/>
  <c r="M704"/>
  <c r="M663"/>
  <c r="L602"/>
  <c r="L574"/>
  <c r="M572"/>
  <c r="L560"/>
  <c r="M529"/>
  <c r="M470"/>
  <c r="M434"/>
  <c r="L371"/>
  <c r="L367"/>
  <c r="L708"/>
  <c r="M693"/>
  <c r="M614"/>
  <c r="L562"/>
  <c r="M496"/>
  <c r="L473"/>
  <c r="L396"/>
  <c r="M343"/>
  <c r="L342"/>
  <c r="L337"/>
  <c r="M306"/>
  <c r="M294"/>
  <c r="M274"/>
  <c r="M186"/>
  <c r="L33"/>
  <c r="L707"/>
  <c r="L666"/>
  <c r="M431"/>
  <c r="M344"/>
  <c r="M406"/>
  <c r="L365"/>
  <c r="M188"/>
  <c r="M152"/>
  <c r="L384"/>
  <c r="L375"/>
  <c r="L353"/>
  <c r="M327"/>
  <c r="L449"/>
  <c r="M415"/>
  <c r="L361"/>
  <c r="M302"/>
  <c r="L296"/>
  <c r="M206"/>
  <c r="L414"/>
  <c r="L360"/>
  <c r="M315"/>
  <c r="L311"/>
  <c r="L305"/>
  <c r="L277"/>
  <c r="L270"/>
  <c r="M247"/>
  <c r="L224"/>
  <c r="L148"/>
  <c r="L217"/>
  <c r="M183"/>
  <c r="L313"/>
  <c r="M222"/>
  <c r="L196"/>
  <c r="L264"/>
  <c r="L230"/>
  <c r="L208"/>
  <c r="L94"/>
  <c r="L72"/>
  <c r="L257"/>
  <c r="M179"/>
  <c r="M146"/>
  <c r="L130"/>
  <c r="L100"/>
  <c r="L135"/>
  <c r="L127"/>
  <c r="L124"/>
  <c r="L77"/>
  <c r="L80"/>
  <c r="L184"/>
  <c r="M132"/>
  <c r="L128"/>
  <c r="M117"/>
  <c r="M114"/>
  <c r="M102"/>
  <c r="L88"/>
  <c r="M29"/>
  <c r="L27"/>
  <c r="L9"/>
  <c r="M9"/>
  <c r="L109"/>
  <c r="L101"/>
  <c r="L75"/>
  <c r="M14"/>
  <c r="L68"/>
  <c r="M59"/>
  <c r="L53"/>
  <c r="M46"/>
  <c r="L35"/>
  <c r="L25"/>
  <c r="L98"/>
  <c r="L3"/>
  <c r="L81"/>
  <c r="L52"/>
  <c r="L11"/>
  <c r="M105"/>
  <c r="M99"/>
  <c r="L82"/>
  <c r="L46"/>
  <c r="L45"/>
  <c r="L21"/>
  <c r="L8"/>
  <c r="M498"/>
  <c r="L1039"/>
  <c r="L989"/>
  <c r="L889"/>
  <c r="L881"/>
  <c r="L873"/>
  <c r="L789"/>
  <c r="M770"/>
  <c r="M752"/>
  <c r="L743"/>
  <c r="L737"/>
  <c r="L407"/>
  <c r="L958"/>
  <c r="L917"/>
  <c r="L849"/>
  <c r="L798"/>
  <c r="M605"/>
  <c r="L490"/>
  <c r="M971"/>
  <c r="M935"/>
  <c r="M889"/>
  <c r="L844"/>
  <c r="M793"/>
  <c r="M757"/>
  <c r="L631"/>
  <c r="L969"/>
  <c r="L937"/>
  <c r="M903"/>
  <c r="L891"/>
  <c r="M843"/>
  <c r="L784"/>
  <c r="M772"/>
  <c r="L753"/>
  <c r="M751"/>
  <c r="L664"/>
  <c r="L658"/>
  <c r="L654"/>
  <c r="L650"/>
  <c r="L646"/>
  <c r="L640"/>
  <c r="L636"/>
  <c r="L632"/>
  <c r="L401"/>
  <c r="L397"/>
  <c r="L393"/>
  <c r="L389"/>
  <c r="L968"/>
  <c r="L960"/>
  <c r="L928"/>
  <c r="L586"/>
  <c r="L558"/>
  <c r="L534"/>
  <c r="L516"/>
  <c r="L468"/>
  <c r="M451"/>
  <c r="M446"/>
  <c r="L438"/>
  <c r="M209"/>
  <c r="L897"/>
  <c r="L885"/>
  <c r="L879"/>
  <c r="L865"/>
  <c r="L827"/>
  <c r="L807"/>
  <c r="L803"/>
  <c r="L795"/>
  <c r="L787"/>
  <c r="L767"/>
  <c r="L741"/>
  <c r="L549"/>
  <c r="L532"/>
  <c r="L472"/>
  <c r="L424"/>
  <c r="L725"/>
  <c r="L693"/>
  <c r="M691"/>
  <c r="L610"/>
  <c r="L476"/>
  <c r="M425"/>
  <c r="L383"/>
  <c r="L641"/>
  <c r="L486"/>
  <c r="L478"/>
  <c r="L399"/>
  <c r="L370"/>
  <c r="L721"/>
  <c r="L685"/>
  <c r="L663"/>
  <c r="M619"/>
  <c r="L590"/>
  <c r="L572"/>
  <c r="L564"/>
  <c r="L506"/>
  <c r="L470"/>
  <c r="L386"/>
  <c r="M371"/>
  <c r="M367"/>
  <c r="M345"/>
  <c r="M246"/>
  <c r="M725"/>
  <c r="M697"/>
  <c r="M618"/>
  <c r="L597"/>
  <c r="L571"/>
  <c r="L563"/>
  <c r="L489"/>
  <c r="M476"/>
  <c r="L400"/>
  <c r="L319"/>
  <c r="L294"/>
  <c r="L287"/>
  <c r="L186"/>
  <c r="L671"/>
  <c r="M447"/>
  <c r="M439"/>
  <c r="M313"/>
  <c r="L460"/>
  <c r="L452"/>
  <c r="L387"/>
  <c r="M385"/>
  <c r="L373"/>
  <c r="L347"/>
  <c r="M338"/>
  <c r="L334"/>
  <c r="M330"/>
  <c r="M325"/>
  <c r="L408"/>
  <c r="L376"/>
  <c r="L354"/>
  <c r="M340"/>
  <c r="L415"/>
  <c r="M358"/>
  <c r="M326"/>
  <c r="L321"/>
  <c r="M317"/>
  <c r="L310"/>
  <c r="L291"/>
  <c r="L455"/>
  <c r="L363"/>
  <c r="M324"/>
  <c r="L228"/>
  <c r="M189"/>
  <c r="M288"/>
  <c r="M280"/>
  <c r="L227"/>
  <c r="L333"/>
  <c r="M300"/>
  <c r="L222"/>
  <c r="L200"/>
  <c r="L164"/>
  <c r="L207"/>
  <c r="L199"/>
  <c r="M162"/>
  <c r="L84"/>
  <c r="M261"/>
  <c r="L254"/>
  <c r="M252"/>
  <c r="L234"/>
  <c r="M223"/>
  <c r="L39"/>
  <c r="L263"/>
  <c r="L245"/>
  <c r="L237"/>
  <c r="M184"/>
  <c r="M144"/>
  <c r="L182"/>
  <c r="L174"/>
  <c r="M130"/>
  <c r="M106"/>
  <c r="L92"/>
  <c r="L78"/>
  <c r="L179"/>
  <c r="L171"/>
  <c r="L162"/>
  <c r="M154"/>
  <c r="M140"/>
  <c r="L156"/>
  <c r="L111"/>
  <c r="L90"/>
  <c r="M77"/>
  <c r="M55"/>
  <c r="M54"/>
  <c r="L122"/>
  <c r="M85"/>
  <c r="L140"/>
  <c r="M96"/>
  <c r="L64"/>
  <c r="M28"/>
  <c r="M142"/>
  <c r="L48"/>
  <c r="L37"/>
  <c r="L137"/>
  <c r="M40"/>
  <c r="M86"/>
  <c r="L60"/>
  <c r="M17"/>
  <c r="M5"/>
  <c r="L104"/>
  <c r="M32"/>
  <c r="L120"/>
  <c r="L34"/>
  <c r="M47"/>
  <c r="M35"/>
  <c r="M25"/>
  <c r="L71"/>
  <c r="L63"/>
  <c r="M12"/>
  <c r="L47"/>
  <c r="M30"/>
  <c r="L16"/>
  <c r="M42"/>
  <c r="M312"/>
  <c r="M185"/>
  <c r="L185"/>
  <c r="M278"/>
  <c r="M13"/>
  <c r="L847"/>
  <c r="L861"/>
  <c r="L1030"/>
  <c r="L312"/>
  <c r="M642"/>
  <c r="M576"/>
  <c r="M668"/>
  <c r="M871"/>
  <c r="M79"/>
  <c r="L278"/>
  <c r="M544"/>
  <c r="M921"/>
  <c r="M1038"/>
  <c r="L87"/>
  <c r="L13"/>
  <c r="L43"/>
  <c r="L42"/>
  <c r="L642"/>
  <c r="L576"/>
  <c r="L668"/>
  <c r="L871"/>
  <c r="L79"/>
  <c r="L544"/>
  <c r="L921"/>
  <c r="L1038"/>
  <c r="M87"/>
  <c r="M622"/>
  <c r="M43"/>
  <c r="M973"/>
  <c r="L973"/>
  <c r="L622"/>
  <c r="M847"/>
  <c r="M861"/>
  <c r="M1030"/>
  <c r="O103" i="1"/>
  <c r="M101"/>
  <c r="L101"/>
  <c r="O102"/>
  <c r="Q7" i="2"/>
  <c r="Q15"/>
  <c r="Q19"/>
  <c r="Q22"/>
  <c r="Q23"/>
  <c r="Q50"/>
  <c r="Q58"/>
  <c r="Q61"/>
  <c r="Q65"/>
  <c r="Q69"/>
  <c r="Q6"/>
  <c r="Q44"/>
  <c r="Q62"/>
  <c r="Q66"/>
  <c r="Q70"/>
  <c r="Q30"/>
  <c r="Q74"/>
  <c r="Q89"/>
  <c r="Q91"/>
  <c r="Q93"/>
  <c r="Q95"/>
  <c r="Q97"/>
  <c r="Q103"/>
  <c r="Q107"/>
  <c r="Q119"/>
  <c r="Q123"/>
  <c r="Q131"/>
  <c r="Q21"/>
  <c r="Q36"/>
  <c r="Q38"/>
  <c r="Q112"/>
  <c r="Q113"/>
  <c r="Q115"/>
  <c r="Q118"/>
  <c r="Q121"/>
  <c r="Q138"/>
  <c r="Q31"/>
  <c r="Q32"/>
  <c r="Q49"/>
  <c r="Q56"/>
  <c r="Q76"/>
  <c r="Q83"/>
  <c r="Q24"/>
  <c r="Q40"/>
  <c r="Q144"/>
  <c r="Q153"/>
  <c r="Q155"/>
  <c r="Q159"/>
  <c r="Q163"/>
  <c r="Q190"/>
  <c r="Q137"/>
  <c r="Q145"/>
  <c r="Q187"/>
  <c r="Q191"/>
  <c r="Q10"/>
  <c r="Q149"/>
  <c r="Q151"/>
  <c r="Q157"/>
  <c r="Q169"/>
  <c r="Q173"/>
  <c r="Q177"/>
  <c r="Q181"/>
  <c r="Q194"/>
  <c r="Q198"/>
  <c r="Q202"/>
  <c r="Q210"/>
  <c r="Q212"/>
  <c r="Q216"/>
  <c r="Q220"/>
  <c r="Q226"/>
  <c r="Q232"/>
  <c r="Q236"/>
  <c r="Q240"/>
  <c r="Q244"/>
  <c r="Q248"/>
  <c r="Q250"/>
  <c r="Q256"/>
  <c r="Q262"/>
  <c r="Q268"/>
  <c r="Q272"/>
  <c r="Q282"/>
  <c r="Q286"/>
  <c r="Q290"/>
  <c r="Q298"/>
  <c r="Q304"/>
  <c r="Q308"/>
  <c r="Q122"/>
  <c r="Q129"/>
  <c r="Q167"/>
  <c r="Q175"/>
  <c r="Q183"/>
  <c r="Q211"/>
  <c r="Q215"/>
  <c r="Q219"/>
  <c r="Q225"/>
  <c r="Q229"/>
  <c r="Q247"/>
  <c r="Q267"/>
  <c r="Q271"/>
  <c r="Q275"/>
  <c r="Q303"/>
  <c r="Q307"/>
  <c r="Q315"/>
  <c r="Q320"/>
  <c r="Q324"/>
  <c r="Q327"/>
  <c r="Q328"/>
  <c r="Q331"/>
  <c r="Q335"/>
  <c r="Q340"/>
  <c r="Q343"/>
  <c r="Q344"/>
  <c r="Q281"/>
  <c r="Q285"/>
  <c r="Q289"/>
  <c r="Q316"/>
  <c r="Q332"/>
  <c r="Q336"/>
  <c r="Q133"/>
  <c r="Q171"/>
  <c r="Q179"/>
  <c r="Q231"/>
  <c r="Q235"/>
  <c r="Q239"/>
  <c r="Q243"/>
  <c r="Q255"/>
  <c r="Q265"/>
  <c r="Q413"/>
  <c r="Q419"/>
  <c r="Q429"/>
  <c r="Q437"/>
  <c r="Q441"/>
  <c r="Q445"/>
  <c r="Q459"/>
  <c r="Q428"/>
  <c r="Q162"/>
  <c r="Q297"/>
  <c r="Q368"/>
  <c r="Q390"/>
  <c r="Q394"/>
  <c r="Q398"/>
  <c r="Q402"/>
  <c r="Q418"/>
  <c r="Q422"/>
  <c r="Q432"/>
  <c r="Q436"/>
  <c r="Q440"/>
  <c r="Q444"/>
  <c r="Q587"/>
  <c r="Q601"/>
  <c r="Q609"/>
  <c r="Q613"/>
  <c r="Q617"/>
  <c r="Q621"/>
  <c r="Q623"/>
  <c r="Q629"/>
  <c r="Q635"/>
  <c r="Q639"/>
  <c r="Q645"/>
  <c r="Q649"/>
  <c r="Q653"/>
  <c r="Q657"/>
  <c r="Q667"/>
  <c r="Q669"/>
  <c r="Q672"/>
  <c r="Q676"/>
  <c r="Q690"/>
  <c r="Q716"/>
  <c r="Q346"/>
  <c r="Q362"/>
  <c r="Q412"/>
  <c r="Q462"/>
  <c r="Q500"/>
  <c r="Q510"/>
  <c r="Q514"/>
  <c r="Q518"/>
  <c r="Q522"/>
  <c r="Q526"/>
  <c r="Q536"/>
  <c r="Q542"/>
  <c r="Q546"/>
  <c r="Q548"/>
  <c r="Q552"/>
  <c r="Q566"/>
  <c r="Q570"/>
  <c r="Q580"/>
  <c r="Q584"/>
  <c r="Q592"/>
  <c r="Q596"/>
  <c r="Q600"/>
  <c r="Q604"/>
  <c r="Q608"/>
  <c r="Q612"/>
  <c r="Q616"/>
  <c r="Q628"/>
  <c r="Q634"/>
  <c r="Q638"/>
  <c r="Q648"/>
  <c r="Q652"/>
  <c r="Q656"/>
  <c r="Q660"/>
  <c r="Q666"/>
  <c r="Q679"/>
  <c r="Q689"/>
  <c r="Q695"/>
  <c r="Q699"/>
  <c r="Q703"/>
  <c r="Q719"/>
  <c r="Q723"/>
  <c r="Q729"/>
  <c r="Q733"/>
  <c r="Q197"/>
  <c r="Q205"/>
  <c r="Q318"/>
  <c r="Q374"/>
  <c r="Q378"/>
  <c r="Q382"/>
  <c r="Q454"/>
  <c r="Q457"/>
  <c r="Q465"/>
  <c r="Q509"/>
  <c r="Q513"/>
  <c r="Q517"/>
  <c r="Q521"/>
  <c r="Q525"/>
  <c r="Q531"/>
  <c r="Q535"/>
  <c r="Q551"/>
  <c r="Q555"/>
  <c r="Q579"/>
  <c r="Q583"/>
  <c r="Q625"/>
  <c r="Q674"/>
  <c r="Q678"/>
  <c r="Q688"/>
  <c r="Q706"/>
  <c r="Q451"/>
  <c r="Q499"/>
  <c r="Q503"/>
  <c r="Q633"/>
  <c r="Q637"/>
  <c r="Q647"/>
  <c r="Q651"/>
  <c r="Q655"/>
  <c r="Q659"/>
  <c r="Q665"/>
  <c r="Q710"/>
  <c r="Q734"/>
  <c r="Q742"/>
  <c r="Q746"/>
  <c r="Q748"/>
  <c r="Q756"/>
  <c r="Q764"/>
  <c r="Q768"/>
  <c r="Q778"/>
  <c r="Q782"/>
  <c r="Q788"/>
  <c r="Q792"/>
  <c r="Q796"/>
  <c r="Q800"/>
  <c r="Q804"/>
  <c r="Q808"/>
  <c r="Q812"/>
  <c r="Q822"/>
  <c r="Q832"/>
  <c r="Q834"/>
  <c r="Q838"/>
  <c r="Q842"/>
  <c r="Q846"/>
  <c r="Q848"/>
  <c r="Q852"/>
  <c r="Q856"/>
  <c r="Q866"/>
  <c r="Q880"/>
  <c r="Q888"/>
  <c r="Q898"/>
  <c r="Q902"/>
  <c r="Q904"/>
  <c r="Q908"/>
  <c r="Q914"/>
  <c r="Q924"/>
  <c r="Q932"/>
  <c r="Q193"/>
  <c r="Q201"/>
  <c r="Q249"/>
  <c r="Q296"/>
  <c r="Q322"/>
  <c r="Q348"/>
  <c r="Q352"/>
  <c r="Q356"/>
  <c r="Q388"/>
  <c r="Q406"/>
  <c r="Q453"/>
  <c r="Q458"/>
  <c r="Q461"/>
  <c r="Q487"/>
  <c r="Q529"/>
  <c r="Q557"/>
  <c r="Q561"/>
  <c r="Q565"/>
  <c r="Q569"/>
  <c r="Q591"/>
  <c r="Q595"/>
  <c r="Q599"/>
  <c r="Q603"/>
  <c r="Q627"/>
  <c r="Q686"/>
  <c r="Q704"/>
  <c r="Q714"/>
  <c r="Q718"/>
  <c r="Q722"/>
  <c r="Q728"/>
  <c r="Q732"/>
  <c r="Q821"/>
  <c r="Q827"/>
  <c r="Q831"/>
  <c r="Q837"/>
  <c r="Q841"/>
  <c r="Q851"/>
  <c r="Q855"/>
  <c r="Q869"/>
  <c r="Q913"/>
  <c r="Q923"/>
  <c r="Q927"/>
  <c r="Q931"/>
  <c r="Q939"/>
  <c r="Q947"/>
  <c r="Q951"/>
  <c r="Q957"/>
  <c r="Q963"/>
  <c r="Q967"/>
  <c r="Q473"/>
  <c r="Q477"/>
  <c r="Q481"/>
  <c r="Q485"/>
  <c r="Q740"/>
  <c r="Q744"/>
  <c r="Q758"/>
  <c r="Q774"/>
  <c r="Q790"/>
  <c r="Q794"/>
  <c r="Q864"/>
  <c r="Q868"/>
  <c r="Q874"/>
  <c r="Q878"/>
  <c r="Q890"/>
  <c r="Q894"/>
  <c r="Q366"/>
  <c r="Q537"/>
  <c r="Q541"/>
  <c r="Q766"/>
  <c r="Q906"/>
  <c r="Q912"/>
  <c r="Q916"/>
  <c r="Q694"/>
  <c r="Q698"/>
  <c r="Q702"/>
  <c r="Q708"/>
  <c r="Q738"/>
  <c r="Q760"/>
  <c r="Q772"/>
  <c r="Q802"/>
  <c r="Q806"/>
  <c r="Q810"/>
  <c r="Q816"/>
  <c r="Q826"/>
  <c r="Q836"/>
  <c r="Q840"/>
  <c r="Q862"/>
  <c r="Q872"/>
  <c r="Q876"/>
  <c r="Q882"/>
  <c r="Q892"/>
  <c r="Q896"/>
  <c r="Q900"/>
  <c r="Q922"/>
  <c r="Q926"/>
  <c r="Q930"/>
  <c r="Q934"/>
  <c r="Q938"/>
  <c r="Q952"/>
  <c r="Q962"/>
  <c r="Q966"/>
  <c r="Q970"/>
  <c r="Q982"/>
  <c r="Q988"/>
  <c r="Q993"/>
  <c r="Q997"/>
  <c r="Q1001"/>
  <c r="Q1006"/>
  <c r="Q1010"/>
  <c r="Q1020"/>
  <c r="Q1024"/>
  <c r="Q1032"/>
  <c r="Q1034"/>
  <c r="Q1044"/>
  <c r="Q776"/>
  <c r="Q780"/>
  <c r="Q830"/>
  <c r="Q918"/>
  <c r="Q946"/>
  <c r="Q950"/>
  <c r="Q987"/>
  <c r="Q1017"/>
  <c r="Q1033"/>
  <c r="Q1043"/>
  <c r="Q611"/>
  <c r="Q850"/>
  <c r="Q854"/>
  <c r="Q858"/>
  <c r="Q976"/>
  <c r="Q1005"/>
  <c r="Q1009"/>
  <c r="Q1013"/>
  <c r="Q910"/>
  <c r="Q992"/>
  <c r="Q996"/>
  <c r="Q1019"/>
  <c r="Q1023"/>
  <c r="Q1027"/>
  <c r="Q1041"/>
  <c r="Q607"/>
  <c r="Q615"/>
  <c r="Q820"/>
  <c r="Q974"/>
  <c r="Q981"/>
  <c r="Q989"/>
  <c r="Q1000"/>
  <c r="Q1016"/>
  <c r="Q1008"/>
  <c r="Q975"/>
  <c r="Q905"/>
  <c r="Q709"/>
  <c r="Q1028"/>
  <c r="Q828"/>
  <c r="Q999"/>
  <c r="Q980"/>
  <c r="Q919"/>
  <c r="Q1040"/>
  <c r="Q1002"/>
  <c r="Q1012"/>
  <c r="Q909"/>
  <c r="Q575"/>
  <c r="Q1042"/>
  <c r="Q1037"/>
  <c r="Q859"/>
  <c r="Q735"/>
  <c r="Q1014"/>
  <c r="Q984"/>
  <c r="Q978"/>
  <c r="Q998"/>
  <c r="Q1018"/>
  <c r="Q943"/>
  <c r="Q643"/>
  <c r="Q1046"/>
  <c r="Q1029"/>
  <c r="Q754"/>
  <c r="Q977"/>
  <c r="Q955"/>
  <c r="Q755"/>
  <c r="Q1022"/>
  <c r="Q991"/>
  <c r="Q920"/>
  <c r="Q769"/>
  <c r="Q765"/>
  <c r="Q502"/>
  <c r="Q498"/>
  <c r="Q1004"/>
  <c r="Q986"/>
  <c r="Q915"/>
  <c r="Q911"/>
  <c r="Q762"/>
  <c r="Q1036"/>
  <c r="Q941"/>
  <c r="Q1015"/>
  <c r="Q985"/>
  <c r="Q884"/>
  <c r="Q818"/>
  <c r="Q1031"/>
  <c r="Q1026"/>
  <c r="Q995"/>
  <c r="Q971"/>
  <c r="Q935"/>
  <c r="Q863"/>
  <c r="Q860"/>
  <c r="Q797"/>
  <c r="Q773"/>
  <c r="Q736"/>
  <c r="Q683"/>
  <c r="Q630"/>
  <c r="Q588"/>
  <c r="Q949"/>
  <c r="Q857"/>
  <c r="Q823"/>
  <c r="Q799"/>
  <c r="Q783"/>
  <c r="Q448"/>
  <c r="Q1035"/>
  <c r="Q1003"/>
  <c r="Q994"/>
  <c r="Q979"/>
  <c r="Q961"/>
  <c r="Q929"/>
  <c r="Q899"/>
  <c r="Q875"/>
  <c r="Q839"/>
  <c r="Q833"/>
  <c r="Q813"/>
  <c r="Q805"/>
  <c r="Q785"/>
  <c r="Q620"/>
  <c r="Q405"/>
  <c r="Q886"/>
  <c r="Q786"/>
  <c r="Q705"/>
  <c r="Q677"/>
  <c r="Q624"/>
  <c r="Q578"/>
  <c r="Q550"/>
  <c r="Q524"/>
  <c r="Q508"/>
  <c r="Q494"/>
  <c r="Q488"/>
  <c r="Q421"/>
  <c r="Q417"/>
  <c r="Q897"/>
  <c r="Q885"/>
  <c r="Q879"/>
  <c r="Q865"/>
  <c r="Q807"/>
  <c r="Q803"/>
  <c r="Q795"/>
  <c r="Q787"/>
  <c r="Q767"/>
  <c r="Q741"/>
  <c r="Q435"/>
  <c r="Q701"/>
  <c r="Q618"/>
  <c r="Q540"/>
  <c r="Q528"/>
  <c r="Q484"/>
  <c r="Q295"/>
  <c r="Q968"/>
  <c r="Q964"/>
  <c r="Q960"/>
  <c r="Q954"/>
  <c r="Q948"/>
  <c r="Q944"/>
  <c r="Q940"/>
  <c r="Q870"/>
  <c r="Q727"/>
  <c r="Q726"/>
  <c r="Q713"/>
  <c r="Q662"/>
  <c r="Q598"/>
  <c r="Q556"/>
  <c r="Q434"/>
  <c r="Q386"/>
  <c r="Q661"/>
  <c r="Q573"/>
  <c r="Q491"/>
  <c r="Q450"/>
  <c r="Q427"/>
  <c r="Q341"/>
  <c r="Q671"/>
  <c r="Q492"/>
  <c r="Q474"/>
  <c r="Q284"/>
  <c r="Q456"/>
  <c r="Q423"/>
  <c r="Q381"/>
  <c r="Q355"/>
  <c r="Q334"/>
  <c r="Q152"/>
  <c r="Q720"/>
  <c r="Q581"/>
  <c r="Q563"/>
  <c r="Q553"/>
  <c r="Q539"/>
  <c r="Q533"/>
  <c r="Q409"/>
  <c r="Q321"/>
  <c r="Q206"/>
  <c r="Q280"/>
  <c r="Q266"/>
  <c r="Q218"/>
  <c r="Q399"/>
  <c r="Q349"/>
  <c r="Q299"/>
  <c r="Q260"/>
  <c r="Q192"/>
  <c r="Q164"/>
  <c r="Q426"/>
  <c r="Q408"/>
  <c r="Q400"/>
  <c r="Q392"/>
  <c r="Q380"/>
  <c r="Q372"/>
  <c r="Q360"/>
  <c r="Q350"/>
  <c r="Q242"/>
  <c r="Q72"/>
  <c r="Q68"/>
  <c r="Q178"/>
  <c r="Q170"/>
  <c r="Q158"/>
  <c r="Q146"/>
  <c r="Q106"/>
  <c r="Q176"/>
  <c r="Q160"/>
  <c r="Q117"/>
  <c r="Q110"/>
  <c r="Q96"/>
  <c r="Q29"/>
  <c r="Q27"/>
  <c r="Q60"/>
  <c r="Q48"/>
  <c r="Q37"/>
  <c r="Q142"/>
  <c r="Q41"/>
  <c r="Q34"/>
  <c r="Q67"/>
  <c r="Q51"/>
  <c r="Q20"/>
  <c r="Q953"/>
  <c r="Q867"/>
  <c r="Q771"/>
  <c r="Q757"/>
  <c r="Q747"/>
  <c r="Q739"/>
  <c r="Q829"/>
  <c r="Q749"/>
  <c r="Q1007"/>
  <c r="Q983"/>
  <c r="Q965"/>
  <c r="Q933"/>
  <c r="Q825"/>
  <c r="Q824"/>
  <c r="Q809"/>
  <c r="Q750"/>
  <c r="Q724"/>
  <c r="Q545"/>
  <c r="Q276"/>
  <c r="Q956"/>
  <c r="Q814"/>
  <c r="Q752"/>
  <c r="Q681"/>
  <c r="Q582"/>
  <c r="Q554"/>
  <c r="Q530"/>
  <c r="Q512"/>
  <c r="Q464"/>
  <c r="Q446"/>
  <c r="Q314"/>
  <c r="Q901"/>
  <c r="Q845"/>
  <c r="Q791"/>
  <c r="Q781"/>
  <c r="Q763"/>
  <c r="Q443"/>
  <c r="Q606"/>
  <c r="Q496"/>
  <c r="Q364"/>
  <c r="Q731"/>
  <c r="Q717"/>
  <c r="Q602"/>
  <c r="Q574"/>
  <c r="Q560"/>
  <c r="Q371"/>
  <c r="Q367"/>
  <c r="Q670"/>
  <c r="Q589"/>
  <c r="Q471"/>
  <c r="Q431"/>
  <c r="Q323"/>
  <c r="Q33"/>
  <c r="Q715"/>
  <c r="Q675"/>
  <c r="Q644"/>
  <c r="Q562"/>
  <c r="Q538"/>
  <c r="Q532"/>
  <c r="Q478"/>
  <c r="Q292"/>
  <c r="Q365"/>
  <c r="Q188"/>
  <c r="Q680"/>
  <c r="Q641"/>
  <c r="Q631"/>
  <c r="Q597"/>
  <c r="Q577"/>
  <c r="Q559"/>
  <c r="Q549"/>
  <c r="Q527"/>
  <c r="Q523"/>
  <c r="Q519"/>
  <c r="Q515"/>
  <c r="Q495"/>
  <c r="Q489"/>
  <c r="Q479"/>
  <c r="Q469"/>
  <c r="Q463"/>
  <c r="Q449"/>
  <c r="Q361"/>
  <c r="Q288"/>
  <c r="Q311"/>
  <c r="Q305"/>
  <c r="Q277"/>
  <c r="Q270"/>
  <c r="Q224"/>
  <c r="Q148"/>
  <c r="Q403"/>
  <c r="Q375"/>
  <c r="Q369"/>
  <c r="Q353"/>
  <c r="Q261"/>
  <c r="Q223"/>
  <c r="Q313"/>
  <c r="Q196"/>
  <c r="Q414"/>
  <c r="Q264"/>
  <c r="Q230"/>
  <c r="Q208"/>
  <c r="Q94"/>
  <c r="Q130"/>
  <c r="Q100"/>
  <c r="Q125"/>
  <c r="Q54"/>
  <c r="Q263"/>
  <c r="Q257"/>
  <c r="Q253"/>
  <c r="Q245"/>
  <c r="Q241"/>
  <c r="Q237"/>
  <c r="Q233"/>
  <c r="Q207"/>
  <c r="Q203"/>
  <c r="Q199"/>
  <c r="Q195"/>
  <c r="Q172"/>
  <c r="Q161"/>
  <c r="Q184"/>
  <c r="Q143"/>
  <c r="Q132"/>
  <c r="Q88"/>
  <c r="Q64"/>
  <c r="Q82"/>
  <c r="Q109"/>
  <c r="Q101"/>
  <c r="Q75"/>
  <c r="Q53"/>
  <c r="Q35"/>
  <c r="Q25"/>
  <c r="Q81"/>
  <c r="Q45"/>
  <c r="Q108"/>
  <c r="Q98"/>
  <c r="Q80"/>
  <c r="Q8"/>
  <c r="Q889"/>
  <c r="Q881"/>
  <c r="Q873"/>
  <c r="Q789"/>
  <c r="Q743"/>
  <c r="Q737"/>
  <c r="Q407"/>
  <c r="Q917"/>
  <c r="Q849"/>
  <c r="Q798"/>
  <c r="Q490"/>
  <c r="Q1045"/>
  <c r="Q1039"/>
  <c r="Q1021"/>
  <c r="Q1011"/>
  <c r="Q969"/>
  <c r="Q937"/>
  <c r="Q891"/>
  <c r="Q784"/>
  <c r="Q753"/>
  <c r="Q664"/>
  <c r="Q658"/>
  <c r="Q654"/>
  <c r="Q650"/>
  <c r="Q646"/>
  <c r="Q640"/>
  <c r="Q636"/>
  <c r="Q632"/>
  <c r="Q401"/>
  <c r="Q397"/>
  <c r="Q393"/>
  <c r="Q389"/>
  <c r="Q586"/>
  <c r="Q558"/>
  <c r="Q534"/>
  <c r="Q516"/>
  <c r="Q468"/>
  <c r="Q438"/>
  <c r="Q907"/>
  <c r="Q883"/>
  <c r="Q817"/>
  <c r="Q777"/>
  <c r="Q761"/>
  <c r="Q725"/>
  <c r="Q693"/>
  <c r="Q610"/>
  <c r="Q476"/>
  <c r="Q383"/>
  <c r="Q972"/>
  <c r="Q958"/>
  <c r="Q942"/>
  <c r="Q936"/>
  <c r="Q928"/>
  <c r="Q721"/>
  <c r="Q685"/>
  <c r="Q663"/>
  <c r="Q590"/>
  <c r="Q572"/>
  <c r="Q564"/>
  <c r="Q506"/>
  <c r="Q470"/>
  <c r="Q345"/>
  <c r="Q684"/>
  <c r="Q439"/>
  <c r="Q319"/>
  <c r="Q294"/>
  <c r="Q287"/>
  <c r="Q186"/>
  <c r="Q711"/>
  <c r="Q504"/>
  <c r="Q482"/>
  <c r="Q472"/>
  <c r="Q466"/>
  <c r="Q460"/>
  <c r="Q452"/>
  <c r="Q387"/>
  <c r="Q373"/>
  <c r="Q347"/>
  <c r="Q338"/>
  <c r="Q330"/>
  <c r="Q325"/>
  <c r="Q700"/>
  <c r="Q696"/>
  <c r="Q593"/>
  <c r="Q511"/>
  <c r="Q507"/>
  <c r="Q415"/>
  <c r="Q326"/>
  <c r="Q317"/>
  <c r="Q310"/>
  <c r="Q291"/>
  <c r="Q228"/>
  <c r="Q189"/>
  <c r="Q433"/>
  <c r="Q391"/>
  <c r="Q379"/>
  <c r="Q357"/>
  <c r="Q333"/>
  <c r="Q222"/>
  <c r="Q200"/>
  <c r="Q165"/>
  <c r="Q141"/>
  <c r="Q139"/>
  <c r="Q424"/>
  <c r="Q410"/>
  <c r="Q404"/>
  <c r="Q396"/>
  <c r="Q384"/>
  <c r="Q376"/>
  <c r="Q370"/>
  <c r="Q354"/>
  <c r="Q254"/>
  <c r="Q234"/>
  <c r="Q39"/>
  <c r="Q182"/>
  <c r="Q174"/>
  <c r="Q150"/>
  <c r="Q92"/>
  <c r="Q156"/>
  <c r="Q111"/>
  <c r="Q90"/>
  <c r="Q168"/>
  <c r="Q154"/>
  <c r="Q140"/>
  <c r="Q26"/>
  <c r="Q135"/>
  <c r="Q46"/>
  <c r="Q5"/>
  <c r="Q120"/>
  <c r="Q71"/>
  <c r="Q63"/>
  <c r="Q47"/>
  <c r="Q16"/>
  <c r="Q18"/>
  <c r="Q959"/>
  <c r="Q893"/>
  <c r="Q877"/>
  <c r="Q793"/>
  <c r="Q770"/>
  <c r="Q945"/>
  <c r="Q853"/>
  <c r="Q819"/>
  <c r="Q779"/>
  <c r="Q605"/>
  <c r="Q1025"/>
  <c r="Q990"/>
  <c r="Q925"/>
  <c r="Q903"/>
  <c r="Q895"/>
  <c r="Q843"/>
  <c r="Q835"/>
  <c r="Q815"/>
  <c r="Q801"/>
  <c r="Q759"/>
  <c r="Q751"/>
  <c r="Q844"/>
  <c r="Q687"/>
  <c r="Q673"/>
  <c r="Q520"/>
  <c r="Q430"/>
  <c r="Q209"/>
  <c r="Q887"/>
  <c r="Q811"/>
  <c r="Q775"/>
  <c r="Q745"/>
  <c r="Q697"/>
  <c r="Q691"/>
  <c r="Q614"/>
  <c r="Q480"/>
  <c r="Q425"/>
  <c r="Q626"/>
  <c r="Q619"/>
  <c r="Q594"/>
  <c r="Q568"/>
  <c r="Q442"/>
  <c r="Q246"/>
  <c r="Q712"/>
  <c r="Q547"/>
  <c r="Q505"/>
  <c r="Q447"/>
  <c r="Q359"/>
  <c r="Q342"/>
  <c r="Q337"/>
  <c r="Q306"/>
  <c r="Q279"/>
  <c r="Q274"/>
  <c r="Q707"/>
  <c r="Q486"/>
  <c r="Q358"/>
  <c r="Q385"/>
  <c r="Q377"/>
  <c r="Q351"/>
  <c r="Q329"/>
  <c r="Q293"/>
  <c r="Q730"/>
  <c r="Q692"/>
  <c r="Q682"/>
  <c r="Q585"/>
  <c r="Q571"/>
  <c r="Q567"/>
  <c r="Q543"/>
  <c r="Q501"/>
  <c r="Q497"/>
  <c r="Q493"/>
  <c r="Q483"/>
  <c r="Q475"/>
  <c r="Q467"/>
  <c r="Q411"/>
  <c r="Q339"/>
  <c r="Q302"/>
  <c r="Q283"/>
  <c r="Q309"/>
  <c r="Q301"/>
  <c r="Q273"/>
  <c r="Q214"/>
  <c r="Q166"/>
  <c r="Q455"/>
  <c r="Q395"/>
  <c r="Q363"/>
  <c r="Q300"/>
  <c r="Q204"/>
  <c r="Q73"/>
  <c r="Q420"/>
  <c r="Q416"/>
  <c r="Q258"/>
  <c r="Q252"/>
  <c r="Q238"/>
  <c r="Q147"/>
  <c r="Q134"/>
  <c r="Q126"/>
  <c r="Q78"/>
  <c r="Q127"/>
  <c r="Q124"/>
  <c r="Q77"/>
  <c r="Q55"/>
  <c r="Q269"/>
  <c r="Q259"/>
  <c r="Q251"/>
  <c r="Q227"/>
  <c r="Q221"/>
  <c r="Q217"/>
  <c r="Q213"/>
  <c r="Q180"/>
  <c r="Q128"/>
  <c r="Q114"/>
  <c r="Q102"/>
  <c r="Q28"/>
  <c r="Q9"/>
  <c r="Q59"/>
  <c r="Q136"/>
  <c r="Q105"/>
  <c r="Q99"/>
  <c r="Q14"/>
  <c r="Q86"/>
  <c r="Q17"/>
  <c r="Q85"/>
  <c r="Q57"/>
  <c r="Q52"/>
  <c r="Q11"/>
  <c r="Q12"/>
  <c r="Q116"/>
  <c r="Q104"/>
  <c r="Q84"/>
  <c r="Q4"/>
  <c r="Q3"/>
  <c r="Q278"/>
  <c r="Q312"/>
  <c r="Q642"/>
  <c r="Q576"/>
  <c r="Q668"/>
  <c r="Q871"/>
  <c r="Q544"/>
  <c r="Q921"/>
  <c r="Q1038"/>
  <c r="Q79"/>
  <c r="Q185"/>
  <c r="Q622"/>
  <c r="Q13"/>
  <c r="Q43"/>
  <c r="Q42"/>
  <c r="Q87"/>
  <c r="Q847"/>
  <c r="Q861"/>
  <c r="Q973"/>
  <c r="Q1030"/>
  <c r="J101" i="1" l="1"/>
  <c r="W101"/>
  <c r="V99"/>
  <c r="O104"/>
  <c r="M103"/>
  <c r="L103"/>
  <c r="G103" l="1"/>
  <c r="D103"/>
  <c r="J103"/>
  <c r="M104"/>
  <c r="L104"/>
  <c r="O106"/>
  <c r="V101"/>
  <c r="J104" l="1"/>
  <c r="V104"/>
  <c r="M106"/>
  <c r="L106"/>
  <c r="O108"/>
  <c r="V103"/>
  <c r="O105"/>
  <c r="W103"/>
  <c r="L108" l="1"/>
  <c r="M108"/>
  <c r="O109"/>
  <c r="J106"/>
  <c r="V105"/>
  <c r="W105"/>
  <c r="V106"/>
  <c r="W106"/>
  <c r="O107"/>
  <c r="J108" l="1"/>
  <c r="V107"/>
  <c r="V108"/>
  <c r="W108"/>
  <c r="M109"/>
  <c r="L109"/>
  <c r="O110"/>
  <c r="M110" l="1"/>
  <c r="L110"/>
  <c r="O111"/>
  <c r="L111" s="1"/>
  <c r="O112"/>
  <c r="G109"/>
  <c r="D109"/>
  <c r="J109"/>
  <c r="W109"/>
  <c r="V109"/>
  <c r="J110" l="1"/>
  <c r="V110"/>
  <c r="M112"/>
  <c r="L112"/>
  <c r="O113"/>
  <c r="J112" l="1"/>
  <c r="V112"/>
  <c r="V111"/>
  <c r="W111"/>
  <c r="M113"/>
  <c r="L113"/>
  <c r="O114"/>
  <c r="M114" l="1"/>
  <c r="O115"/>
  <c r="L115" s="1"/>
  <c r="O116"/>
  <c r="L114"/>
  <c r="J113"/>
  <c r="W113"/>
  <c r="V113"/>
  <c r="O117" l="1"/>
  <c r="M116"/>
  <c r="L116"/>
  <c r="J114"/>
  <c r="V114"/>
  <c r="W114"/>
  <c r="M117" l="1"/>
  <c r="O118"/>
  <c r="L117"/>
  <c r="J116"/>
  <c r="V116"/>
  <c r="J117" l="1"/>
  <c r="D117"/>
  <c r="G117"/>
  <c r="L118"/>
  <c r="O119"/>
  <c r="L119" s="1"/>
  <c r="O120"/>
  <c r="M118"/>
  <c r="O121" l="1"/>
  <c r="M120"/>
  <c r="L120"/>
  <c r="G118"/>
  <c r="J118"/>
  <c r="V118"/>
  <c r="V117"/>
  <c r="M121" l="1"/>
  <c r="L121"/>
  <c r="O123"/>
  <c r="O122"/>
  <c r="J120"/>
  <c r="V119"/>
  <c r="W119"/>
  <c r="V120"/>
  <c r="W120"/>
  <c r="J121" l="1"/>
  <c r="L123"/>
  <c r="M123"/>
  <c r="O125"/>
  <c r="M125" l="1"/>
  <c r="L125"/>
  <c r="O126"/>
  <c r="J123"/>
  <c r="W123"/>
  <c r="V123"/>
  <c r="V121"/>
  <c r="O124"/>
  <c r="G125" l="1"/>
  <c r="D125"/>
  <c r="J125"/>
  <c r="V125"/>
  <c r="L126"/>
  <c r="O128"/>
  <c r="M126"/>
  <c r="J126" l="1"/>
  <c r="G126"/>
  <c r="A126"/>
  <c r="V126"/>
  <c r="W126"/>
  <c r="O130"/>
  <c r="M128"/>
  <c r="L128"/>
  <c r="O129"/>
  <c r="O127"/>
  <c r="M130" l="1"/>
  <c r="L130"/>
  <c r="O131"/>
  <c r="J128"/>
  <c r="W127"/>
  <c r="V127"/>
  <c r="V128"/>
  <c r="J130" l="1"/>
  <c r="W130"/>
  <c r="V129"/>
  <c r="L131"/>
  <c r="O132"/>
  <c r="M131"/>
  <c r="L132" l="1"/>
  <c r="O133"/>
  <c r="M132"/>
  <c r="J131"/>
  <c r="G131"/>
  <c r="D131"/>
  <c r="W131"/>
  <c r="V131"/>
  <c r="V130"/>
  <c r="L133" l="1"/>
  <c r="M133"/>
  <c r="O134"/>
  <c r="J132"/>
  <c r="W132"/>
  <c r="V132"/>
  <c r="J133" l="1"/>
  <c r="V133"/>
  <c r="M134"/>
  <c r="L134"/>
  <c r="O135"/>
  <c r="M135" l="1"/>
  <c r="L135"/>
  <c r="O136"/>
  <c r="J134"/>
  <c r="W134"/>
  <c r="J135" l="1"/>
  <c r="L136"/>
  <c r="O137"/>
  <c r="M136"/>
  <c r="V135" s="1"/>
  <c r="V134"/>
  <c r="M137" l="1"/>
  <c r="O138"/>
  <c r="L137"/>
  <c r="J136"/>
  <c r="G136"/>
  <c r="W135"/>
  <c r="J137" l="1"/>
  <c r="D137"/>
  <c r="L138"/>
  <c r="O139"/>
  <c r="M138"/>
  <c r="W136"/>
  <c r="V136"/>
  <c r="O140" l="1"/>
  <c r="M139"/>
  <c r="L139"/>
  <c r="J138"/>
  <c r="W138"/>
  <c r="V138"/>
  <c r="V137"/>
  <c r="M140" l="1"/>
  <c r="O141"/>
  <c r="L140"/>
  <c r="G139"/>
  <c r="A139"/>
  <c r="J139"/>
  <c r="W139"/>
  <c r="J140" l="1"/>
  <c r="K1370" i="2"/>
  <c r="J1287"/>
  <c r="K1208"/>
  <c r="K1585"/>
  <c r="K1520"/>
  <c r="K1401"/>
  <c r="J1473"/>
  <c r="K1314"/>
  <c r="J1251"/>
  <c r="J1166"/>
  <c r="J1518"/>
  <c r="K1383"/>
  <c r="K1306"/>
  <c r="K1247"/>
  <c r="K1199"/>
  <c r="K1341"/>
  <c r="J1293"/>
  <c r="J1198"/>
  <c r="K1557"/>
  <c r="J1505"/>
  <c r="K1382"/>
  <c r="J1263"/>
  <c r="K1256"/>
  <c r="K1484"/>
  <c r="K1362"/>
  <c r="J1264"/>
  <c r="J1199"/>
  <c r="K1402"/>
  <c r="K1326"/>
  <c r="K1283"/>
  <c r="K1207"/>
  <c r="K1546"/>
  <c r="K1274"/>
  <c r="K1535"/>
  <c r="K1369"/>
  <c r="J1299"/>
  <c r="K1311"/>
  <c r="K1515"/>
  <c r="J1403"/>
  <c r="J1320"/>
  <c r="K1230"/>
  <c r="J1185"/>
  <c r="K1287"/>
  <c r="J1207"/>
  <c r="K1496"/>
  <c r="K1308"/>
  <c r="J1509"/>
  <c r="K1310"/>
  <c r="K1218"/>
  <c r="K1204"/>
  <c r="K1388"/>
  <c r="K1292"/>
  <c r="K1225"/>
  <c r="J1274"/>
  <c r="K1186"/>
  <c r="J1209"/>
  <c r="J1237"/>
  <c r="J1204"/>
  <c r="J1315"/>
  <c r="J1178"/>
  <c r="J1256"/>
  <c r="J1311"/>
  <c r="K1469"/>
  <c r="J1186"/>
  <c r="J1252"/>
  <c r="K1221"/>
  <c r="J1424"/>
  <c r="K1351"/>
  <c r="J1459"/>
  <c r="K1197"/>
  <c r="K1508"/>
  <c r="J1584"/>
  <c r="K1398"/>
  <c r="J1173"/>
  <c r="J1187"/>
  <c r="J1211"/>
  <c r="J1241"/>
  <c r="J1267"/>
  <c r="J1289"/>
  <c r="J1312"/>
  <c r="J1339"/>
  <c r="J1359"/>
  <c r="K1184"/>
  <c r="K1212"/>
  <c r="K1228"/>
  <c r="K1246"/>
  <c r="K1272"/>
  <c r="K1290"/>
  <c r="K1313"/>
  <c r="K1235"/>
  <c r="J1254"/>
  <c r="J1294"/>
  <c r="J1302"/>
  <c r="J1313"/>
  <c r="J1329"/>
  <c r="J1340"/>
  <c r="K1356"/>
  <c r="J1369"/>
  <c r="K1379"/>
  <c r="K1404"/>
  <c r="K1417"/>
  <c r="K1431"/>
  <c r="K1450"/>
  <c r="J1476"/>
  <c r="J1490"/>
  <c r="J1503"/>
  <c r="K1519"/>
  <c r="J1540"/>
  <c r="K1551"/>
  <c r="J1564"/>
  <c r="J1574"/>
  <c r="J1594"/>
  <c r="K1267"/>
  <c r="J1278"/>
  <c r="J1286"/>
  <c r="J1341"/>
  <c r="J1356"/>
  <c r="K1389"/>
  <c r="J1400"/>
  <c r="K1418"/>
  <c r="J1442"/>
  <c r="K1455"/>
  <c r="K1474"/>
  <c r="J1517"/>
  <c r="J1529"/>
  <c r="J1551"/>
  <c r="J1573"/>
  <c r="J1597"/>
  <c r="J1171"/>
  <c r="K1215"/>
  <c r="K1331"/>
  <c r="K1372"/>
  <c r="J1422"/>
  <c r="J1474"/>
  <c r="J1539"/>
  <c r="K1191"/>
  <c r="K1340"/>
  <c r="J1428"/>
  <c r="K1500"/>
  <c r="K1548"/>
  <c r="J1607"/>
  <c r="K1415"/>
  <c r="K1564"/>
  <c r="J1238"/>
  <c r="K1343"/>
  <c r="K1410"/>
  <c r="J1462"/>
  <c r="J1499"/>
  <c r="J1553"/>
  <c r="J1567"/>
  <c r="J1585"/>
  <c r="K1347"/>
  <c r="K1483"/>
  <c r="J1196"/>
  <c r="K1336"/>
  <c r="J1412"/>
  <c r="K1486"/>
  <c r="K1507"/>
  <c r="K1544"/>
  <c r="J1595"/>
  <c r="K1241"/>
  <c r="K1423"/>
  <c r="J1546"/>
  <c r="K1395"/>
  <c r="J1501"/>
  <c r="K1394"/>
  <c r="K1210"/>
  <c r="K1513"/>
  <c r="K1361"/>
  <c r="K1575"/>
  <c r="J1534"/>
  <c r="K1489"/>
  <c r="J1432"/>
  <c r="K1352"/>
  <c r="J1220"/>
  <c r="J1511"/>
  <c r="J1395"/>
  <c r="J1568"/>
  <c r="K1468"/>
  <c r="J1338"/>
  <c r="J1411"/>
  <c r="J1602"/>
  <c r="J1562"/>
  <c r="K1530"/>
  <c r="K1477"/>
  <c r="J1408"/>
  <c r="K1600"/>
  <c r="K1420"/>
  <c r="J1200"/>
  <c r="K1172"/>
  <c r="K1387"/>
  <c r="J1457"/>
  <c r="J1491"/>
  <c r="K1536"/>
  <c r="J1580"/>
  <c r="J1398"/>
  <c r="J1526"/>
  <c r="J1230"/>
  <c r="K1427"/>
  <c r="K1545"/>
  <c r="J1447"/>
  <c r="J1425"/>
  <c r="K1504"/>
  <c r="J1566"/>
  <c r="K1533"/>
  <c r="J1437"/>
  <c r="J1217"/>
  <c r="J1455"/>
  <c r="K1350"/>
  <c r="K1425"/>
  <c r="K1475"/>
  <c r="J1508"/>
  <c r="K1435"/>
  <c r="K1526"/>
  <c r="J1357"/>
  <c r="K1293"/>
  <c r="K1249"/>
  <c r="K1599"/>
  <c r="K1553"/>
  <c r="K1412"/>
  <c r="K1492"/>
  <c r="K1329"/>
  <c r="K1255"/>
  <c r="J1203"/>
  <c r="K1296"/>
  <c r="J1399"/>
  <c r="J1322"/>
  <c r="K1264"/>
  <c r="J1225"/>
  <c r="K1349"/>
  <c r="K1319"/>
  <c r="J1249"/>
  <c r="K1565"/>
  <c r="J1538"/>
  <c r="J1421"/>
  <c r="J1295"/>
  <c r="J1181"/>
  <c r="K1498"/>
  <c r="K1396"/>
  <c r="J1306"/>
  <c r="K1206"/>
  <c r="K1444"/>
  <c r="K1334"/>
  <c r="K1294"/>
  <c r="K1250"/>
  <c r="K1550"/>
  <c r="J1366"/>
  <c r="K1543"/>
  <c r="K1377"/>
  <c r="K1303"/>
  <c r="K1233"/>
  <c r="J1522"/>
  <c r="K1458"/>
  <c r="J1354"/>
  <c r="K1239"/>
  <c r="K1189"/>
  <c r="J1307"/>
  <c r="J1265"/>
  <c r="K1589"/>
  <c r="K1324"/>
  <c r="J1542"/>
  <c r="J1379"/>
  <c r="J1233"/>
  <c r="K1252"/>
  <c r="J1441"/>
  <c r="K1322"/>
  <c r="J1239"/>
  <c r="K1182"/>
  <c r="J1240"/>
  <c r="K1166"/>
  <c r="K1209"/>
  <c r="K1237"/>
  <c r="J1194"/>
  <c r="J1288"/>
  <c r="J1223"/>
  <c r="J1248"/>
  <c r="J1304"/>
  <c r="K1291"/>
  <c r="J1244"/>
  <c r="J1308"/>
  <c r="K1345"/>
  <c r="J1397"/>
  <c r="J1172"/>
  <c r="J1475"/>
  <c r="J1563"/>
  <c r="J1261"/>
  <c r="J1465"/>
  <c r="J1183"/>
  <c r="J1205"/>
  <c r="J1235"/>
  <c r="J1257"/>
  <c r="J1285"/>
  <c r="J1305"/>
  <c r="J1331"/>
  <c r="J1355"/>
  <c r="J1375"/>
  <c r="K1180"/>
  <c r="K1196"/>
  <c r="K1224"/>
  <c r="K1242"/>
  <c r="K1268"/>
  <c r="K1286"/>
  <c r="K1309"/>
  <c r="J1222"/>
  <c r="K1253"/>
  <c r="K1263"/>
  <c r="K1301"/>
  <c r="K1312"/>
  <c r="J1325"/>
  <c r="J1336"/>
  <c r="K1355"/>
  <c r="K1363"/>
  <c r="J1378"/>
  <c r="K1400"/>
  <c r="J1415"/>
  <c r="J1423"/>
  <c r="K1442"/>
  <c r="K1473"/>
  <c r="J1488"/>
  <c r="J1500"/>
  <c r="K1509"/>
  <c r="K1538"/>
  <c r="K1549"/>
  <c r="K1559"/>
  <c r="K1573"/>
  <c r="K1593"/>
  <c r="K1605"/>
  <c r="J1180"/>
  <c r="J1272"/>
  <c r="K1285"/>
  <c r="J1337"/>
  <c r="J1351"/>
  <c r="K1384"/>
  <c r="K1397"/>
  <c r="J1413"/>
  <c r="J1431"/>
  <c r="J1450"/>
  <c r="J1464"/>
  <c r="K1510"/>
  <c r="J1523"/>
  <c r="J1549"/>
  <c r="J1569"/>
  <c r="J1593"/>
  <c r="J1212"/>
  <c r="K1328"/>
  <c r="K1371"/>
  <c r="J1418"/>
  <c r="K1460"/>
  <c r="J1510"/>
  <c r="K1187"/>
  <c r="J1332"/>
  <c r="J1401"/>
  <c r="K1476"/>
  <c r="J1528"/>
  <c r="J1368"/>
  <c r="K1518"/>
  <c r="J1321"/>
  <c r="K1403"/>
  <c r="K1449"/>
  <c r="K1497"/>
  <c r="J1550"/>
  <c r="J1561"/>
  <c r="K1574"/>
  <c r="J1463"/>
  <c r="J1192"/>
  <c r="J1328"/>
  <c r="J1396"/>
  <c r="J1454"/>
  <c r="K1503"/>
  <c r="J1527"/>
  <c r="K1594"/>
  <c r="K1399"/>
  <c r="J1485"/>
  <c r="K1602"/>
  <c r="J1407"/>
  <c r="K1525"/>
  <c r="K1406"/>
  <c r="J1262"/>
  <c r="J1600"/>
  <c r="K1411"/>
  <c r="K1376"/>
  <c r="K1568"/>
  <c r="K1501"/>
  <c r="K1451"/>
  <c r="K1367"/>
  <c r="K1220"/>
  <c r="K1170"/>
  <c r="K1353"/>
  <c r="J1575"/>
  <c r="K1407"/>
  <c r="K1572"/>
  <c r="J1493"/>
  <c r="J1367"/>
  <c r="K1414"/>
  <c r="K1471"/>
  <c r="J1572"/>
  <c r="K1534"/>
  <c r="J1481"/>
  <c r="K1432"/>
  <c r="J1352"/>
  <c r="K1214"/>
  <c r="J1219"/>
  <c r="J1365"/>
  <c r="K1439"/>
  <c r="K1487"/>
  <c r="J1512"/>
  <c r="K1563"/>
  <c r="K1261"/>
  <c r="J1480"/>
  <c r="K1202"/>
  <c r="J1386"/>
  <c r="K1277"/>
  <c r="J1370"/>
  <c r="K1385"/>
  <c r="J1479"/>
  <c r="K1552"/>
  <c r="K1480"/>
  <c r="K1416"/>
  <c r="K1511"/>
  <c r="K1438"/>
  <c r="J1429"/>
  <c r="K1165"/>
  <c r="J1387"/>
  <c r="K1466"/>
  <c r="J1495"/>
  <c r="K1566"/>
  <c r="J1471"/>
  <c r="K1596"/>
  <c r="K1231"/>
  <c r="K1409"/>
  <c r="J1318"/>
  <c r="J1269"/>
  <c r="K1607"/>
  <c r="K1561"/>
  <c r="K1482"/>
  <c r="K1270"/>
  <c r="K1335"/>
  <c r="K1295"/>
  <c r="J1218"/>
  <c r="K1304"/>
  <c r="K1428"/>
  <c r="J1358"/>
  <c r="K1276"/>
  <c r="K1229"/>
  <c r="J1182"/>
  <c r="K1323"/>
  <c r="J1273"/>
  <c r="K1571"/>
  <c r="K1284"/>
  <c r="K1470"/>
  <c r="K1299"/>
  <c r="J1255"/>
  <c r="K1527"/>
  <c r="K1446"/>
  <c r="K1317"/>
  <c r="J1229"/>
  <c r="K1529"/>
  <c r="K1374"/>
  <c r="K1307"/>
  <c r="K1265"/>
  <c r="K1577"/>
  <c r="K1485"/>
  <c r="K1178"/>
  <c r="J1382"/>
  <c r="K1325"/>
  <c r="J1259"/>
  <c r="J1548"/>
  <c r="J1483"/>
  <c r="J1362"/>
  <c r="K1275"/>
  <c r="K1200"/>
  <c r="K1318"/>
  <c r="K1269"/>
  <c r="K1595"/>
  <c r="K1443"/>
  <c r="K1280"/>
  <c r="J1417"/>
  <c r="K1251"/>
  <c r="K1260"/>
  <c r="K1454"/>
  <c r="K1358"/>
  <c r="K1243"/>
  <c r="J1189"/>
  <c r="J1214"/>
  <c r="J1324"/>
  <c r="K1226"/>
  <c r="J1270"/>
  <c r="K1223"/>
  <c r="J1232"/>
  <c r="J1284"/>
  <c r="K1190"/>
  <c r="J1234"/>
  <c r="J1300"/>
  <c r="K1248"/>
  <c r="K1424"/>
  <c r="K1337"/>
  <c r="J1384"/>
  <c r="J1439"/>
  <c r="J1560"/>
  <c r="J1590"/>
  <c r="K1592"/>
  <c r="J1420"/>
  <c r="J1195"/>
  <c r="J1227"/>
  <c r="J1253"/>
  <c r="J1281"/>
  <c r="J1301"/>
  <c r="J1327"/>
  <c r="J1347"/>
  <c r="J1371"/>
  <c r="K1176"/>
  <c r="K1192"/>
  <c r="K1222"/>
  <c r="K1238"/>
  <c r="K1258"/>
  <c r="K1282"/>
  <c r="K1302"/>
  <c r="J1208"/>
  <c r="J1250"/>
  <c r="J1258"/>
  <c r="J1298"/>
  <c r="J1309"/>
  <c r="J1319"/>
  <c r="J1335"/>
  <c r="J1348"/>
  <c r="K1360"/>
  <c r="J1377"/>
  <c r="K1391"/>
  <c r="K1413"/>
  <c r="K1421"/>
  <c r="J1436"/>
  <c r="J1470"/>
  <c r="J1486"/>
  <c r="J1494"/>
  <c r="J1507"/>
  <c r="J1535"/>
  <c r="J1543"/>
  <c r="J1556"/>
  <c r="J1570"/>
  <c r="K1583"/>
  <c r="J1598"/>
  <c r="K1271"/>
  <c r="J1282"/>
  <c r="J1290"/>
  <c r="J1349"/>
  <c r="J1380"/>
  <c r="K1393"/>
  <c r="J1404"/>
  <c r="K1429"/>
  <c r="K1447"/>
  <c r="J1461"/>
  <c r="K1506"/>
  <c r="J1521"/>
  <c r="J1547"/>
  <c r="J1559"/>
  <c r="J1583"/>
  <c r="J1609"/>
  <c r="K1211"/>
  <c r="K1327"/>
  <c r="K1368"/>
  <c r="K1390"/>
  <c r="K1448"/>
  <c r="J1506"/>
  <c r="K1183"/>
  <c r="K1227"/>
  <c r="J1390"/>
  <c r="J1460"/>
  <c r="J1520"/>
  <c r="K1339"/>
  <c r="J1498"/>
  <c r="J1246"/>
  <c r="J1392"/>
  <c r="J1443"/>
  <c r="J1484"/>
  <c r="K1540"/>
  <c r="J1557"/>
  <c r="J1571"/>
  <c r="J1448"/>
  <c r="J1565"/>
  <c r="J1188"/>
  <c r="J1228"/>
  <c r="K1378"/>
  <c r="J1446"/>
  <c r="K1494"/>
  <c r="J1516"/>
  <c r="J1591"/>
  <c r="J1599"/>
  <c r="J1383"/>
  <c r="J1458"/>
  <c r="J1589"/>
  <c r="K1445"/>
  <c r="J1558"/>
  <c r="K1452"/>
  <c r="K1262"/>
  <c r="J1414"/>
  <c r="K1576"/>
  <c r="K1588"/>
  <c r="K1524"/>
  <c r="J1477"/>
  <c r="K1405"/>
  <c r="K1338"/>
  <c r="K1201"/>
  <c r="J1467"/>
  <c r="J1578"/>
  <c r="J1445"/>
  <c r="J1588"/>
  <c r="J1524"/>
  <c r="J1405"/>
  <c r="K1467"/>
  <c r="K1219"/>
  <c r="K1582"/>
  <c r="J1554"/>
  <c r="K1493"/>
  <c r="J1452"/>
  <c r="J1394"/>
  <c r="J1353"/>
  <c r="J1342"/>
  <c r="J1434"/>
  <c r="K1479"/>
  <c r="J1504"/>
  <c r="K1560"/>
  <c r="K1587"/>
  <c r="J1453"/>
  <c r="J1541"/>
  <c r="J1231"/>
  <c r="J1545"/>
  <c r="K1547"/>
  <c r="J1350"/>
  <c r="K1440"/>
  <c r="J1536"/>
  <c r="K1456"/>
  <c r="J1596"/>
  <c r="J1469"/>
  <c r="K1217"/>
  <c r="J1393"/>
  <c r="K1586"/>
  <c r="J1165"/>
  <c r="J1385"/>
  <c r="K1457"/>
  <c r="K1491"/>
  <c r="J1544"/>
  <c r="J1456"/>
  <c r="J1592"/>
  <c r="K1386"/>
  <c r="K1330"/>
  <c r="K1273"/>
  <c r="K1198"/>
  <c r="K1567"/>
  <c r="K1516"/>
  <c r="J1276"/>
  <c r="K1373"/>
  <c r="J1310"/>
  <c r="J1221"/>
  <c r="K1315"/>
  <c r="J1449"/>
  <c r="J1364"/>
  <c r="J1292"/>
  <c r="J1243"/>
  <c r="J1193"/>
  <c r="J1330"/>
  <c r="K1279"/>
  <c r="K1579"/>
  <c r="K1499"/>
  <c r="K1488"/>
  <c r="J1314"/>
  <c r="K1259"/>
  <c r="K1234"/>
  <c r="K1462"/>
  <c r="K1354"/>
  <c r="J1247"/>
  <c r="K1185"/>
  <c r="J1389"/>
  <c r="J1323"/>
  <c r="J1279"/>
  <c r="K1591"/>
  <c r="K1528"/>
  <c r="K1266"/>
  <c r="K1436"/>
  <c r="K1333"/>
  <c r="J1291"/>
  <c r="K1300"/>
  <c r="J1497"/>
  <c r="K1392"/>
  <c r="J1317"/>
  <c r="J1206"/>
  <c r="J1326"/>
  <c r="J1283"/>
  <c r="K1463"/>
  <c r="K1288"/>
  <c r="K1478"/>
  <c r="J1303"/>
  <c r="K1203"/>
  <c r="J1514"/>
  <c r="K1364"/>
  <c r="J1275"/>
  <c r="K1193"/>
  <c r="J1202"/>
  <c r="J1296"/>
  <c r="K1194"/>
  <c r="J1260"/>
  <c r="K1244"/>
  <c r="J1190"/>
  <c r="J1266"/>
  <c r="K1181"/>
  <c r="J1226"/>
  <c r="J1280"/>
  <c r="K1240"/>
  <c r="J1334"/>
  <c r="J1374"/>
  <c r="K1521"/>
  <c r="K1426"/>
  <c r="J1532"/>
  <c r="J1587"/>
  <c r="K1537"/>
  <c r="J1191"/>
  <c r="J1215"/>
  <c r="J1245"/>
  <c r="J1271"/>
  <c r="J1297"/>
  <c r="J1316"/>
  <c r="J1343"/>
  <c r="J1363"/>
  <c r="K1171"/>
  <c r="K1188"/>
  <c r="K1216"/>
  <c r="K1236"/>
  <c r="K1254"/>
  <c r="K1278"/>
  <c r="K1298"/>
  <c r="K1321"/>
  <c r="K1205"/>
  <c r="J1236"/>
  <c r="K1257"/>
  <c r="K1297"/>
  <c r="K1305"/>
  <c r="K1316"/>
  <c r="J1333"/>
  <c r="J1344"/>
  <c r="K1359"/>
  <c r="J1373"/>
  <c r="K1380"/>
  <c r="J1410"/>
  <c r="J1419"/>
  <c r="J1433"/>
  <c r="K1461"/>
  <c r="J1478"/>
  <c r="J1492"/>
  <c r="K1505"/>
  <c r="K1523"/>
  <c r="K1542"/>
  <c r="K1555"/>
  <c r="K1569"/>
  <c r="K1581"/>
  <c r="K1597"/>
  <c r="K1609"/>
  <c r="J1176"/>
  <c r="J1268"/>
  <c r="K1281"/>
  <c r="K1289"/>
  <c r="J1345"/>
  <c r="J1360"/>
  <c r="J1391"/>
  <c r="J1402"/>
  <c r="K1422"/>
  <c r="J1444"/>
  <c r="K1459"/>
  <c r="K1502"/>
  <c r="J1519"/>
  <c r="K1539"/>
  <c r="J1555"/>
  <c r="J1581"/>
  <c r="J1605"/>
  <c r="K1173"/>
  <c r="J1216"/>
  <c r="K1332"/>
  <c r="K1375"/>
  <c r="K1430"/>
  <c r="J1502"/>
  <c r="K1195"/>
  <c r="K1348"/>
  <c r="K1441"/>
  <c r="J1515"/>
  <c r="J1577"/>
  <c r="K1245"/>
  <c r="K1419"/>
  <c r="K1578"/>
  <c r="J1242"/>
  <c r="J1372"/>
  <c r="J1430"/>
  <c r="J1482"/>
  <c r="K1522"/>
  <c r="K1556"/>
  <c r="K1570"/>
  <c r="J1388"/>
  <c r="J1496"/>
  <c r="J1184"/>
  <c r="J1224"/>
  <c r="K1344"/>
  <c r="K1433"/>
  <c r="K1490"/>
  <c r="K1514"/>
  <c r="K1590"/>
  <c r="K1598"/>
  <c r="K1320"/>
  <c r="K1437"/>
  <c r="J1579"/>
  <c r="J1213"/>
  <c r="J1582"/>
  <c r="J1489"/>
  <c r="K1346"/>
  <c r="J1170"/>
  <c r="J1472"/>
  <c r="J1531"/>
  <c r="J1530"/>
  <c r="K1481"/>
  <c r="K1408"/>
  <c r="J1346"/>
  <c r="J1210"/>
  <c r="K1366"/>
  <c r="J1576"/>
  <c r="J1376"/>
  <c r="K1554"/>
  <c r="J1451"/>
  <c r="J1201"/>
  <c r="J1513"/>
  <c r="J1361"/>
  <c r="K1531"/>
  <c r="K1213"/>
  <c r="J1586"/>
  <c r="K1558"/>
  <c r="J1525"/>
  <c r="J1468"/>
  <c r="J1406"/>
  <c r="K1472"/>
  <c r="J1409"/>
  <c r="K1232"/>
  <c r="J1197"/>
  <c r="J1426"/>
  <c r="J1466"/>
  <c r="K1495"/>
  <c r="J1552"/>
  <c r="K1584"/>
  <c r="J1435"/>
  <c r="J1533"/>
  <c r="J1277"/>
  <c r="J1381"/>
  <c r="K1381"/>
  <c r="K1464"/>
  <c r="K1342"/>
  <c r="K1434"/>
  <c r="K1512"/>
  <c r="K1580"/>
  <c r="K1541"/>
  <c r="K1465"/>
  <c r="J1438"/>
  <c r="K1517"/>
  <c r="K1562"/>
  <c r="K1365"/>
  <c r="J1440"/>
  <c r="J1487"/>
  <c r="K1532"/>
  <c r="K1453"/>
  <c r="J1537"/>
  <c r="K1357"/>
  <c r="J1427"/>
  <c r="J1416"/>
  <c r="O142" i="1"/>
  <c r="M141"/>
  <c r="L141"/>
  <c r="V139"/>
  <c r="O143" l="1"/>
  <c r="M142"/>
  <c r="L142"/>
  <c r="J141"/>
  <c r="V141"/>
  <c r="W141"/>
  <c r="V140"/>
  <c r="O144" l="1"/>
  <c r="M143"/>
  <c r="L143"/>
  <c r="J142"/>
  <c r="V142"/>
  <c r="W142"/>
  <c r="O145" l="1"/>
  <c r="M144"/>
  <c r="L144"/>
  <c r="G143"/>
  <c r="D143"/>
  <c r="J143"/>
  <c r="M145" l="1"/>
  <c r="O146"/>
  <c r="L145"/>
  <c r="J144"/>
  <c r="W144"/>
  <c r="W143"/>
  <c r="V143"/>
  <c r="J145" l="1"/>
  <c r="R1055" i="2"/>
  <c r="V1055" s="1"/>
  <c r="R1063"/>
  <c r="V1063" s="1"/>
  <c r="R1075"/>
  <c r="V1075" s="1"/>
  <c r="R1085"/>
  <c r="V1085" s="1"/>
  <c r="R1095"/>
  <c r="V1095" s="1"/>
  <c r="R1105"/>
  <c r="V1105" s="1"/>
  <c r="R1121"/>
  <c r="V1121" s="1"/>
  <c r="S1134"/>
  <c r="S1142"/>
  <c r="R1153"/>
  <c r="V1153" s="1"/>
  <c r="R1161"/>
  <c r="V1161" s="1"/>
  <c r="S1173"/>
  <c r="R1180"/>
  <c r="V1180" s="1"/>
  <c r="R1188"/>
  <c r="V1188" s="1"/>
  <c r="R1196"/>
  <c r="V1196" s="1"/>
  <c r="S1215"/>
  <c r="S1227"/>
  <c r="R1238"/>
  <c r="V1238" s="1"/>
  <c r="R1246"/>
  <c r="V1246" s="1"/>
  <c r="R1258"/>
  <c r="V1258" s="1"/>
  <c r="R1272"/>
  <c r="V1272" s="1"/>
  <c r="S1285"/>
  <c r="S1297"/>
  <c r="S1305"/>
  <c r="S1316"/>
  <c r="S1331"/>
  <c r="S1343"/>
  <c r="S1355"/>
  <c r="S1363"/>
  <c r="S1375"/>
  <c r="R1074"/>
  <c r="V1074" s="1"/>
  <c r="R1094"/>
  <c r="V1094" s="1"/>
  <c r="R1124"/>
  <c r="V1124" s="1"/>
  <c r="R1146"/>
  <c r="V1146" s="1"/>
  <c r="R1173"/>
  <c r="V1173" s="1"/>
  <c r="R1187"/>
  <c r="V1187" s="1"/>
  <c r="R1211"/>
  <c r="V1211" s="1"/>
  <c r="R1241"/>
  <c r="V1241" s="1"/>
  <c r="R1267"/>
  <c r="V1267" s="1"/>
  <c r="R1289"/>
  <c r="V1289" s="1"/>
  <c r="R1312"/>
  <c r="V1312" s="1"/>
  <c r="R1339"/>
  <c r="V1339" s="1"/>
  <c r="R1359"/>
  <c r="V1359" s="1"/>
  <c r="R1390"/>
  <c r="V1390" s="1"/>
  <c r="R1418"/>
  <c r="V1418" s="1"/>
  <c r="R1448"/>
  <c r="V1448" s="1"/>
  <c r="R1476"/>
  <c r="V1476" s="1"/>
  <c r="R1506"/>
  <c r="V1506" s="1"/>
  <c r="R1539"/>
  <c r="V1539" s="1"/>
  <c r="R1053"/>
  <c r="V1053" s="1"/>
  <c r="U1058"/>
  <c r="T1063"/>
  <c r="R1073"/>
  <c r="V1073" s="1"/>
  <c r="T1081"/>
  <c r="T1091"/>
  <c r="U1098"/>
  <c r="T1109"/>
  <c r="U1120"/>
  <c r="T1125"/>
  <c r="U1134"/>
  <c r="T1139"/>
  <c r="R1145"/>
  <c r="V1145" s="1"/>
  <c r="R1155"/>
  <c r="V1155" s="1"/>
  <c r="U1160"/>
  <c r="T1169"/>
  <c r="T1176"/>
  <c r="U1183"/>
  <c r="T1188"/>
  <c r="R1194"/>
  <c r="V1194" s="1"/>
  <c r="R1204"/>
  <c r="V1204" s="1"/>
  <c r="R1214"/>
  <c r="V1214" s="1"/>
  <c r="T1224"/>
  <c r="R1232"/>
  <c r="V1232" s="1"/>
  <c r="T1238"/>
  <c r="R1244"/>
  <c r="V1244" s="1"/>
  <c r="R1252"/>
  <c r="V1252" s="1"/>
  <c r="U1257"/>
  <c r="U1267"/>
  <c r="T1272"/>
  <c r="U1281"/>
  <c r="T1286"/>
  <c r="R1296"/>
  <c r="V1296" s="1"/>
  <c r="U1301"/>
  <c r="R1308"/>
  <c r="V1308" s="1"/>
  <c r="T1313"/>
  <c r="S1051"/>
  <c r="U1057"/>
  <c r="T1062"/>
  <c r="T1080"/>
  <c r="U1111"/>
  <c r="T1120"/>
  <c r="S1125"/>
  <c r="T1134"/>
  <c r="S1139"/>
  <c r="U1145"/>
  <c r="T1173"/>
  <c r="R1207"/>
  <c r="V1207" s="1"/>
  <c r="T1215"/>
  <c r="R1249"/>
  <c r="V1249" s="1"/>
  <c r="S1276"/>
  <c r="R1293"/>
  <c r="V1293" s="1"/>
  <c r="S1325"/>
  <c r="S1336"/>
  <c r="R1354"/>
  <c r="V1354" s="1"/>
  <c r="T1359"/>
  <c r="R1364"/>
  <c r="V1364" s="1"/>
  <c r="S1378"/>
  <c r="U1383"/>
  <c r="T1390"/>
  <c r="U1396"/>
  <c r="R1402"/>
  <c r="V1402" s="1"/>
  <c r="R1413"/>
  <c r="V1413" s="1"/>
  <c r="R1429"/>
  <c r="V1429" s="1"/>
  <c r="T1443"/>
  <c r="T1448"/>
  <c r="U1458"/>
  <c r="U1462"/>
  <c r="U1476"/>
  <c r="T1485"/>
  <c r="T1496"/>
  <c r="U1500"/>
  <c r="U1514"/>
  <c r="U1518"/>
  <c r="U1527"/>
  <c r="S1069"/>
  <c r="S1095"/>
  <c r="S1107"/>
  <c r="S1169"/>
  <c r="U1186"/>
  <c r="T1191"/>
  <c r="S1196"/>
  <c r="T1227"/>
  <c r="T1241"/>
  <c r="S1246"/>
  <c r="R1325"/>
  <c r="V1325" s="1"/>
  <c r="U1330"/>
  <c r="R1335"/>
  <c r="V1335" s="1"/>
  <c r="S1349"/>
  <c r="R1369"/>
  <c r="V1369" s="1"/>
  <c r="U1374"/>
  <c r="R1382"/>
  <c r="V1382" s="1"/>
  <c r="T1410"/>
  <c r="U1421"/>
  <c r="U1436"/>
  <c r="S1460"/>
  <c r="U1478"/>
  <c r="U1492"/>
  <c r="U1505"/>
  <c r="U1523"/>
  <c r="U1542"/>
  <c r="S1067"/>
  <c r="S1105"/>
  <c r="S1157"/>
  <c r="U1163"/>
  <c r="S1222"/>
  <c r="S1250"/>
  <c r="U1256"/>
  <c r="S1294"/>
  <c r="U1300"/>
  <c r="T1305"/>
  <c r="S1313"/>
  <c r="R1324"/>
  <c r="V1324" s="1"/>
  <c r="R1330"/>
  <c r="V1330" s="1"/>
  <c r="R1337"/>
  <c r="V1337" s="1"/>
  <c r="R1345"/>
  <c r="V1345" s="1"/>
  <c r="T1368"/>
  <c r="R1374"/>
  <c r="V1374" s="1"/>
  <c r="T1391"/>
  <c r="U1402"/>
  <c r="U1418"/>
  <c r="T1442"/>
  <c r="U1455"/>
  <c r="U1474"/>
  <c r="U1502"/>
  <c r="T1519"/>
  <c r="U1539"/>
  <c r="U1178"/>
  <c r="R1255"/>
  <c r="V1255" s="1"/>
  <c r="U1270"/>
  <c r="R1314"/>
  <c r="V1314" s="1"/>
  <c r="U1363"/>
  <c r="U1412"/>
  <c r="S1444"/>
  <c r="T1506"/>
  <c r="T1781"/>
  <c r="T1845"/>
  <c r="R1799"/>
  <c r="V1799" s="1"/>
  <c r="S1840"/>
  <c r="U1113"/>
  <c r="U1354"/>
  <c r="S1530"/>
  <c r="U1846"/>
  <c r="U1073"/>
  <c r="S1091"/>
  <c r="U1280"/>
  <c r="U1288"/>
  <c r="T1336"/>
  <c r="U1379"/>
  <c r="T1422"/>
  <c r="T1455"/>
  <c r="R1507"/>
  <c r="V1507" s="1"/>
  <c r="T1793"/>
  <c r="T1857"/>
  <c r="U1802"/>
  <c r="U1850"/>
  <c r="T1281"/>
  <c r="S1402"/>
  <c r="R1505"/>
  <c r="V1505" s="1"/>
  <c r="S1804"/>
  <c r="R1827"/>
  <c r="V1827" s="1"/>
  <c r="R1154"/>
  <c r="V1154" s="1"/>
  <c r="T1175"/>
  <c r="R1295"/>
  <c r="V1295" s="1"/>
  <c r="T1347"/>
  <c r="S1385"/>
  <c r="U1390"/>
  <c r="R1423"/>
  <c r="V1423" s="1"/>
  <c r="U1434"/>
  <c r="S1440"/>
  <c r="S1465"/>
  <c r="U1479"/>
  <c r="U1504"/>
  <c r="U1532"/>
  <c r="R1783"/>
  <c r="V1783" s="1"/>
  <c r="R1342"/>
  <c r="V1342" s="1"/>
  <c r="U1430"/>
  <c r="U1482"/>
  <c r="S1521"/>
  <c r="R1795"/>
  <c r="V1795" s="1"/>
  <c r="U1480"/>
  <c r="S1812"/>
  <c r="U1864"/>
  <c r="R1785"/>
  <c r="V1785" s="1"/>
  <c r="T1407"/>
  <c r="R1213"/>
  <c r="V1213" s="1"/>
  <c r="T1807"/>
  <c r="U1530"/>
  <c r="R1493"/>
  <c r="V1493" s="1"/>
  <c r="S1477"/>
  <c r="S1451"/>
  <c r="R1394"/>
  <c r="V1394" s="1"/>
  <c r="S1338"/>
  <c r="R1130"/>
  <c r="V1130" s="1"/>
  <c r="T1221"/>
  <c r="S1858"/>
  <c r="T1787"/>
  <c r="U1868"/>
  <c r="R1821"/>
  <c r="V1821" s="1"/>
  <c r="S1775"/>
  <c r="R1856"/>
  <c r="V1856" s="1"/>
  <c r="S1825"/>
  <c r="R1808"/>
  <c r="V1808" s="1"/>
  <c r="U1792"/>
  <c r="T1837"/>
  <c r="T1821"/>
  <c r="T1864"/>
  <c r="T1778"/>
  <c r="U1395"/>
  <c r="T1079"/>
  <c r="R1788"/>
  <c r="V1788" s="1"/>
  <c r="T1530"/>
  <c r="R1408"/>
  <c r="V1408" s="1"/>
  <c r="U1262"/>
  <c r="R1199"/>
  <c r="V1199" s="1"/>
  <c r="S1835"/>
  <c r="T1467"/>
  <c r="S1219"/>
  <c r="T1839"/>
  <c r="T1856"/>
  <c r="T1840"/>
  <c r="R1818"/>
  <c r="V1818" s="1"/>
  <c r="U1795"/>
  <c r="T1776"/>
  <c r="S1456"/>
  <c r="S1796"/>
  <c r="R1817"/>
  <c r="V1817" s="1"/>
  <c r="T1395"/>
  <c r="U1079"/>
  <c r="T1788"/>
  <c r="R1534"/>
  <c r="V1534" s="1"/>
  <c r="S1501"/>
  <c r="S1481"/>
  <c r="T1452"/>
  <c r="R1405"/>
  <c r="V1405" s="1"/>
  <c r="R1352"/>
  <c r="V1352" s="1"/>
  <c r="U1346"/>
  <c r="T1210"/>
  <c r="S1130"/>
  <c r="U1317"/>
  <c r="T1835"/>
  <c r="U1353"/>
  <c r="S1839"/>
  <c r="U1789"/>
  <c r="T1859"/>
  <c r="U1841"/>
  <c r="R1825"/>
  <c r="V1825" s="1"/>
  <c r="R1809"/>
  <c r="V1809" s="1"/>
  <c r="R1793"/>
  <c r="V1793" s="1"/>
  <c r="R1777"/>
  <c r="V1777" s="1"/>
  <c r="U1407"/>
  <c r="T1852"/>
  <c r="T1501"/>
  <c r="U1406"/>
  <c r="U1338"/>
  <c r="T1201"/>
  <c r="R1096"/>
  <c r="V1096" s="1"/>
  <c r="U1835"/>
  <c r="R1794"/>
  <c r="V1794" s="1"/>
  <c r="S1472"/>
  <c r="U1411"/>
  <c r="R1219"/>
  <c r="V1219" s="1"/>
  <c r="T1782"/>
  <c r="R1857"/>
  <c r="V1857" s="1"/>
  <c r="S1827"/>
  <c r="S1795"/>
  <c r="S1531"/>
  <c r="U1465"/>
  <c r="R1416"/>
  <c r="V1416" s="1"/>
  <c r="T1164"/>
  <c r="R1420"/>
  <c r="V1420" s="1"/>
  <c r="T1865"/>
  <c r="R1851"/>
  <c r="V1851" s="1"/>
  <c r="R1189"/>
  <c r="V1189" s="1"/>
  <c r="R1848"/>
  <c r="V1848" s="1"/>
  <c r="T1261"/>
  <c r="S1837"/>
  <c r="S1805"/>
  <c r="T1847"/>
  <c r="U1829"/>
  <c r="U1813"/>
  <c r="U1797"/>
  <c r="U1781"/>
  <c r="U1425"/>
  <c r="T1172"/>
  <c r="U1826"/>
  <c r="S1526"/>
  <c r="S1407"/>
  <c r="U1149"/>
  <c r="U1052"/>
  <c r="T1444"/>
  <c r="U1351"/>
  <c r="T1326"/>
  <c r="T1294"/>
  <c r="U1269"/>
  <c r="T1174"/>
  <c r="T1047"/>
  <c r="S1486"/>
  <c r="R1443"/>
  <c r="V1443" s="1"/>
  <c r="U1419"/>
  <c r="T1333"/>
  <c r="S1299"/>
  <c r="T1233"/>
  <c r="U1203"/>
  <c r="T1154"/>
  <c r="T1128"/>
  <c r="U1086"/>
  <c r="S1527"/>
  <c r="S1462"/>
  <c r="T1366"/>
  <c r="S1497"/>
  <c r="R1412"/>
  <c r="V1412" s="1"/>
  <c r="U1366"/>
  <c r="S1320"/>
  <c r="U1243"/>
  <c r="S1206"/>
  <c r="S1185"/>
  <c r="U1115"/>
  <c r="U1070"/>
  <c r="T1427"/>
  <c r="R1193"/>
  <c r="V1193" s="1"/>
  <c r="R1826"/>
  <c r="V1826" s="1"/>
  <c r="T1537"/>
  <c r="S1480"/>
  <c r="S1435"/>
  <c r="T1814"/>
  <c r="S1831"/>
  <c r="S1806"/>
  <c r="T1536"/>
  <c r="T1508"/>
  <c r="R1495"/>
  <c r="V1495" s="1"/>
  <c r="T1479"/>
  <c r="U1457"/>
  <c r="T1426"/>
  <c r="S1365"/>
  <c r="R1165"/>
  <c r="V1165" s="1"/>
  <c r="U1144"/>
  <c r="U1136"/>
  <c r="U1126"/>
  <c r="U1118"/>
  <c r="S1088"/>
  <c r="S1452"/>
  <c r="R1247"/>
  <c r="V1247" s="1"/>
  <c r="U1093"/>
  <c r="S1064"/>
  <c r="U1050"/>
  <c r="U1431"/>
  <c r="T1351"/>
  <c r="S1326"/>
  <c r="T1287"/>
  <c r="S1265"/>
  <c r="S1207"/>
  <c r="R1089"/>
  <c r="V1089" s="1"/>
  <c r="R1527"/>
  <c r="V1527" s="1"/>
  <c r="T1505"/>
  <c r="R1428"/>
  <c r="V1428" s="1"/>
  <c r="R1388"/>
  <c r="V1388" s="1"/>
  <c r="S1509"/>
  <c r="S1417"/>
  <c r="U1329"/>
  <c r="U1295"/>
  <c r="T1251"/>
  <c r="R1181"/>
  <c r="V1181" s="1"/>
  <c r="S1154"/>
  <c r="S1128"/>
  <c r="U1104"/>
  <c r="S1499"/>
  <c r="S1428"/>
  <c r="T1454"/>
  <c r="T1364"/>
  <c r="T1292"/>
  <c r="R1264"/>
  <c r="V1264" s="1"/>
  <c r="U1229"/>
  <c r="S1189"/>
  <c r="T1100"/>
  <c r="T1070"/>
  <c r="S1416"/>
  <c r="R1787"/>
  <c r="V1787" s="1"/>
  <c r="T1826"/>
  <c r="S1471"/>
  <c r="U1837"/>
  <c r="U1805"/>
  <c r="S1854"/>
  <c r="S1829"/>
  <c r="R1812"/>
  <c r="V1812" s="1"/>
  <c r="U1796"/>
  <c r="U1439"/>
  <c r="T1365"/>
  <c r="U1197"/>
  <c r="T1140"/>
  <c r="T1122"/>
  <c r="T1817"/>
  <c r="S1832"/>
  <c r="T1534"/>
  <c r="T1405"/>
  <c r="T1065"/>
  <c r="T1517"/>
  <c r="T1370"/>
  <c r="U1323"/>
  <c r="T1293"/>
  <c r="S1269"/>
  <c r="T1177"/>
  <c r="U1077"/>
  <c r="R1499"/>
  <c r="V1499" s="1"/>
  <c r="R1462"/>
  <c r="V1462" s="1"/>
  <c r="S1433"/>
  <c r="R1500"/>
  <c r="V1500" s="1"/>
  <c r="U1415"/>
  <c r="T1314"/>
  <c r="R1291"/>
  <c r="V1291" s="1"/>
  <c r="S1251"/>
  <c r="S1166"/>
  <c r="S1149"/>
  <c r="U1107"/>
  <c r="U1087"/>
  <c r="S1520"/>
  <c r="S1454"/>
  <c r="R1056"/>
  <c r="V1056" s="1"/>
  <c r="U1499"/>
  <c r="U1463"/>
  <c r="T1383"/>
  <c r="R1320"/>
  <c r="V1320" s="1"/>
  <c r="S1292"/>
  <c r="S1243"/>
  <c r="T1199"/>
  <c r="U1114"/>
  <c r="T1093"/>
  <c r="T1152"/>
  <c r="U1294"/>
  <c r="U1072"/>
  <c r="R1515"/>
  <c r="V1515" s="1"/>
  <c r="R1403"/>
  <c r="V1403" s="1"/>
  <c r="T1382"/>
  <c r="T1299"/>
  <c r="U1154"/>
  <c r="S1104"/>
  <c r="T1497"/>
  <c r="T1362"/>
  <c r="R1230"/>
  <c r="V1230" s="1"/>
  <c r="T1185"/>
  <c r="U1309"/>
  <c r="U1236"/>
  <c r="U1188"/>
  <c r="U1091"/>
  <c r="U1380"/>
  <c r="U1332"/>
  <c r="U1286"/>
  <c r="S1240"/>
  <c r="S1145"/>
  <c r="U1059"/>
  <c r="T1315"/>
  <c r="T1280"/>
  <c r="T1244"/>
  <c r="T1141"/>
  <c r="T1073"/>
  <c r="U1095"/>
  <c r="U1131"/>
  <c r="T1296"/>
  <c r="T1159"/>
  <c r="R1237"/>
  <c r="V1237" s="1"/>
  <c r="R1424"/>
  <c r="V1424" s="1"/>
  <c r="U1116"/>
  <c r="S1048"/>
  <c r="S1054"/>
  <c r="S1062"/>
  <c r="S1074"/>
  <c r="S1084"/>
  <c r="S1094"/>
  <c r="R1103"/>
  <c r="V1103" s="1"/>
  <c r="S1120"/>
  <c r="R1131"/>
  <c r="V1131" s="1"/>
  <c r="R1139"/>
  <c r="V1139" s="1"/>
  <c r="R1147"/>
  <c r="V1147" s="1"/>
  <c r="S1160"/>
  <c r="R1171"/>
  <c r="V1171" s="1"/>
  <c r="S1179"/>
  <c r="S1187"/>
  <c r="S1195"/>
  <c r="R1212"/>
  <c r="V1212" s="1"/>
  <c r="R1224"/>
  <c r="V1224" s="1"/>
  <c r="R1236"/>
  <c r="V1236" s="1"/>
  <c r="S1245"/>
  <c r="S1257"/>
  <c r="S1271"/>
  <c r="R1282"/>
  <c r="V1282" s="1"/>
  <c r="R1290"/>
  <c r="V1290" s="1"/>
  <c r="R1302"/>
  <c r="V1302" s="1"/>
  <c r="R1313"/>
  <c r="V1313" s="1"/>
  <c r="R1328"/>
  <c r="V1328" s="1"/>
  <c r="R1340"/>
  <c r="V1340" s="1"/>
  <c r="R1348"/>
  <c r="V1348" s="1"/>
  <c r="R1360"/>
  <c r="V1360" s="1"/>
  <c r="R1372"/>
  <c r="V1372" s="1"/>
  <c r="R1062"/>
  <c r="V1062" s="1"/>
  <c r="R1090"/>
  <c r="V1090" s="1"/>
  <c r="R1120"/>
  <c r="V1120" s="1"/>
  <c r="R1142"/>
  <c r="V1142" s="1"/>
  <c r="R1168"/>
  <c r="V1168" s="1"/>
  <c r="R1183"/>
  <c r="V1183" s="1"/>
  <c r="R1205"/>
  <c r="V1205" s="1"/>
  <c r="R1235"/>
  <c r="V1235" s="1"/>
  <c r="R1257"/>
  <c r="V1257" s="1"/>
  <c r="R1285"/>
  <c r="V1285" s="1"/>
  <c r="R1305"/>
  <c r="V1305" s="1"/>
  <c r="R1331"/>
  <c r="V1331" s="1"/>
  <c r="R1355"/>
  <c r="V1355" s="1"/>
  <c r="R1375"/>
  <c r="V1375" s="1"/>
  <c r="R1410"/>
  <c r="V1410" s="1"/>
  <c r="R1442"/>
  <c r="V1442" s="1"/>
  <c r="R1474"/>
  <c r="V1474" s="1"/>
  <c r="R1502"/>
  <c r="V1502" s="1"/>
  <c r="R1523"/>
  <c r="V1523" s="1"/>
  <c r="T1051"/>
  <c r="R1057"/>
  <c r="V1057" s="1"/>
  <c r="U1062"/>
  <c r="R1071"/>
  <c r="V1071" s="1"/>
  <c r="U1080"/>
  <c r="U1090"/>
  <c r="R1097"/>
  <c r="V1097" s="1"/>
  <c r="T1105"/>
  <c r="R1119"/>
  <c r="V1119" s="1"/>
  <c r="U1124"/>
  <c r="R1133"/>
  <c r="V1133" s="1"/>
  <c r="U1138"/>
  <c r="T1143"/>
  <c r="T1153"/>
  <c r="R1159"/>
  <c r="V1159" s="1"/>
  <c r="U1168"/>
  <c r="U1175"/>
  <c r="T1180"/>
  <c r="U1187"/>
  <c r="T1192"/>
  <c r="R1202"/>
  <c r="V1202" s="1"/>
  <c r="T1212"/>
  <c r="T1222"/>
  <c r="T1228"/>
  <c r="T1236"/>
  <c r="T1242"/>
  <c r="R1248"/>
  <c r="V1248" s="1"/>
  <c r="R1256"/>
  <c r="V1256" s="1"/>
  <c r="R1266"/>
  <c r="V1266" s="1"/>
  <c r="U1271"/>
  <c r="R1280"/>
  <c r="V1280" s="1"/>
  <c r="U1285"/>
  <c r="T1290"/>
  <c r="R1300"/>
  <c r="V1300" s="1"/>
  <c r="U1305"/>
  <c r="U1312"/>
  <c r="T1321"/>
  <c r="S1055"/>
  <c r="U1061"/>
  <c r="R1076"/>
  <c r="V1076" s="1"/>
  <c r="S1109"/>
  <c r="U1119"/>
  <c r="T1124"/>
  <c r="U1133"/>
  <c r="T1138"/>
  <c r="S1143"/>
  <c r="S1171"/>
  <c r="U1202"/>
  <c r="U1214"/>
  <c r="U1232"/>
  <c r="R1273"/>
  <c r="V1273" s="1"/>
  <c r="R1287"/>
  <c r="V1287" s="1"/>
  <c r="R1323"/>
  <c r="V1323" s="1"/>
  <c r="S1335"/>
  <c r="S1348"/>
  <c r="R1358"/>
  <c r="V1358" s="1"/>
  <c r="T1363"/>
  <c r="S1377"/>
  <c r="U1382"/>
  <c r="R1389"/>
  <c r="V1389" s="1"/>
  <c r="R1393"/>
  <c r="V1393" s="1"/>
  <c r="T1401"/>
  <c r="T1412"/>
  <c r="U1428"/>
  <c r="U1441"/>
  <c r="R1447"/>
  <c r="V1447" s="1"/>
  <c r="R1455"/>
  <c r="V1455" s="1"/>
  <c r="R1461"/>
  <c r="V1461" s="1"/>
  <c r="S1474"/>
  <c r="U1484"/>
  <c r="U1494"/>
  <c r="T1499"/>
  <c r="S1510"/>
  <c r="R1517"/>
  <c r="V1517" s="1"/>
  <c r="U1522"/>
  <c r="S1539"/>
  <c r="S1049"/>
  <c r="T1094"/>
  <c r="S1099"/>
  <c r="T1168"/>
  <c r="S1184"/>
  <c r="U1190"/>
  <c r="T1195"/>
  <c r="U1226"/>
  <c r="U1240"/>
  <c r="T1245"/>
  <c r="U1324"/>
  <c r="R1329"/>
  <c r="V1329" s="1"/>
  <c r="U1334"/>
  <c r="S1345"/>
  <c r="S1360"/>
  <c r="R1373"/>
  <c r="V1373" s="1"/>
  <c r="S1380"/>
  <c r="U1404"/>
  <c r="T1419"/>
  <c r="T1433"/>
  <c r="U1450"/>
  <c r="T1476"/>
  <c r="T1490"/>
  <c r="T1503"/>
  <c r="U1519"/>
  <c r="T1540"/>
  <c r="S1047"/>
  <c r="S1085"/>
  <c r="T1156"/>
  <c r="S1161"/>
  <c r="S1208"/>
  <c r="S1236"/>
  <c r="S1254"/>
  <c r="U1260"/>
  <c r="S1298"/>
  <c r="U1304"/>
  <c r="T1312"/>
  <c r="S1319"/>
  <c r="T1328"/>
  <c r="R1334"/>
  <c r="V1334" s="1"/>
  <c r="U1343"/>
  <c r="R1351"/>
  <c r="V1351" s="1"/>
  <c r="T1372"/>
  <c r="U1389"/>
  <c r="T1400"/>
  <c r="T1413"/>
  <c r="T1431"/>
  <c r="T1450"/>
  <c r="U1464"/>
  <c r="S1494"/>
  <c r="U1517"/>
  <c r="U1529"/>
  <c r="S1176"/>
  <c r="R1251"/>
  <c r="V1251" s="1"/>
  <c r="S1268"/>
  <c r="R1310"/>
  <c r="V1310" s="1"/>
  <c r="R1357"/>
  <c r="V1357" s="1"/>
  <c r="S1404"/>
  <c r="S1431"/>
  <c r="T1502"/>
  <c r="R1540"/>
  <c r="V1540" s="1"/>
  <c r="T1829"/>
  <c r="S1792"/>
  <c r="U1834"/>
  <c r="U1866"/>
  <c r="R1350"/>
  <c r="V1350" s="1"/>
  <c r="R1488"/>
  <c r="V1488" s="1"/>
  <c r="R1843"/>
  <c r="V1843" s="1"/>
  <c r="S1868"/>
  <c r="U1089"/>
  <c r="S1278"/>
  <c r="S1286"/>
  <c r="S1328"/>
  <c r="T1378"/>
  <c r="T1418"/>
  <c r="U1448"/>
  <c r="R1503"/>
  <c r="V1503" s="1"/>
  <c r="T1777"/>
  <c r="T1841"/>
  <c r="R1847"/>
  <c r="V1847" s="1"/>
  <c r="R1128"/>
  <c r="V1128" s="1"/>
  <c r="S1391"/>
  <c r="S1442"/>
  <c r="T1539"/>
  <c r="R1779"/>
  <c r="V1779" s="1"/>
  <c r="S1820"/>
  <c r="S1103"/>
  <c r="S1165"/>
  <c r="T1271"/>
  <c r="T1339"/>
  <c r="T1384"/>
  <c r="T1389"/>
  <c r="R1419"/>
  <c r="V1419" s="1"/>
  <c r="S1427"/>
  <c r="T1439"/>
  <c r="S1464"/>
  <c r="U1475"/>
  <c r="T1495"/>
  <c r="S1519"/>
  <c r="R1542"/>
  <c r="V1542" s="1"/>
  <c r="S1776"/>
  <c r="T1289"/>
  <c r="U1416"/>
  <c r="T1474"/>
  <c r="U1511"/>
  <c r="S1788"/>
  <c r="S1860"/>
  <c r="R1864"/>
  <c r="V1864" s="1"/>
  <c r="S1817"/>
  <c r="U1213"/>
  <c r="U1823"/>
  <c r="S1534"/>
  <c r="S1493"/>
  <c r="R1481"/>
  <c r="V1481" s="1"/>
  <c r="R1452"/>
  <c r="V1452" s="1"/>
  <c r="S1405"/>
  <c r="T1352"/>
  <c r="U1170"/>
  <c r="U1108"/>
  <c r="T1794"/>
  <c r="R1868"/>
  <c r="V1868" s="1"/>
  <c r="U1836"/>
  <c r="S1782"/>
  <c r="S1857"/>
  <c r="R1840"/>
  <c r="V1840" s="1"/>
  <c r="S1809"/>
  <c r="R1792"/>
  <c r="V1792" s="1"/>
  <c r="U1776"/>
  <c r="S1457"/>
  <c r="T1867"/>
  <c r="U1801"/>
  <c r="R1407"/>
  <c r="V1407" s="1"/>
  <c r="U1151"/>
  <c r="T1798"/>
  <c r="U1451"/>
  <c r="R1262"/>
  <c r="V1262" s="1"/>
  <c r="T1263"/>
  <c r="U1851"/>
  <c r="R1472"/>
  <c r="V1472" s="1"/>
  <c r="S1361"/>
  <c r="U1855"/>
  <c r="U1859"/>
  <c r="R1841"/>
  <c r="V1841" s="1"/>
  <c r="T1824"/>
  <c r="R1802"/>
  <c r="V1802" s="1"/>
  <c r="U1779"/>
  <c r="R1819"/>
  <c r="V1819" s="1"/>
  <c r="R1833"/>
  <c r="V1833" s="1"/>
  <c r="S1778"/>
  <c r="T1445"/>
  <c r="S1079"/>
  <c r="S1798"/>
  <c r="U1534"/>
  <c r="R1524"/>
  <c r="V1524" s="1"/>
  <c r="R1489"/>
  <c r="V1489" s="1"/>
  <c r="S1468"/>
  <c r="T1406"/>
  <c r="U1367"/>
  <c r="T1346"/>
  <c r="U1220"/>
  <c r="S1170"/>
  <c r="T1092"/>
  <c r="S1842"/>
  <c r="T1361"/>
  <c r="T1855"/>
  <c r="R1789"/>
  <c r="V1789" s="1"/>
  <c r="T1866"/>
  <c r="T1843"/>
  <c r="T1827"/>
  <c r="T1811"/>
  <c r="T1795"/>
  <c r="T1779"/>
  <c r="R1353"/>
  <c r="V1353" s="1"/>
  <c r="U1790"/>
  <c r="R1803"/>
  <c r="V1803" s="1"/>
  <c r="R1445"/>
  <c r="V1445" s="1"/>
  <c r="R1376"/>
  <c r="V1376" s="1"/>
  <c r="U1804"/>
  <c r="U1525"/>
  <c r="U1432"/>
  <c r="T1338"/>
  <c r="U1210"/>
  <c r="T1108"/>
  <c r="R1842"/>
  <c r="V1842" s="1"/>
  <c r="T1816"/>
  <c r="U1784"/>
  <c r="R1513"/>
  <c r="V1513" s="1"/>
  <c r="S1414"/>
  <c r="U1219"/>
  <c r="S1791"/>
  <c r="S1859"/>
  <c r="S1834"/>
  <c r="S1802"/>
  <c r="S1469"/>
  <c r="T1416"/>
  <c r="T1231"/>
  <c r="T1465"/>
  <c r="U1164"/>
  <c r="R1229"/>
  <c r="V1229" s="1"/>
  <c r="S1865"/>
  <c r="T1800"/>
  <c r="U1456"/>
  <c r="R1846"/>
  <c r="V1846" s="1"/>
  <c r="R1814"/>
  <c r="V1814" s="1"/>
  <c r="T1854"/>
  <c r="T1831"/>
  <c r="R1813"/>
  <c r="V1813" s="1"/>
  <c r="R1797"/>
  <c r="V1797" s="1"/>
  <c r="R1781"/>
  <c r="V1781" s="1"/>
  <c r="U1440"/>
  <c r="S1197"/>
  <c r="U1842"/>
  <c r="U1778"/>
  <c r="T1451"/>
  <c r="R1243"/>
  <c r="V1243" s="1"/>
  <c r="S1060"/>
  <c r="U1461"/>
  <c r="T1374"/>
  <c r="T1334"/>
  <c r="T1307"/>
  <c r="S1279"/>
  <c r="T1207"/>
  <c r="T1072"/>
  <c r="R1498"/>
  <c r="V1498" s="1"/>
  <c r="R1449"/>
  <c r="V1449" s="1"/>
  <c r="T1436"/>
  <c r="T1369"/>
  <c r="T1303"/>
  <c r="U1251"/>
  <c r="R1218"/>
  <c r="V1218" s="1"/>
  <c r="U1158"/>
  <c r="R1149"/>
  <c r="V1149" s="1"/>
  <c r="U1092"/>
  <c r="U1066"/>
  <c r="S1484"/>
  <c r="S1396"/>
  <c r="T1515"/>
  <c r="U1443"/>
  <c r="R1366"/>
  <c r="V1366" s="1"/>
  <c r="R1322"/>
  <c r="V1322" s="1"/>
  <c r="T1275"/>
  <c r="U1225"/>
  <c r="T1189"/>
  <c r="R1115"/>
  <c r="V1115" s="1"/>
  <c r="T1096"/>
  <c r="R1427"/>
  <c r="V1427" s="1"/>
  <c r="U1231"/>
  <c r="R1346"/>
  <c r="V1346" s="1"/>
  <c r="T1848"/>
  <c r="S1803"/>
  <c r="S1541"/>
  <c r="U1526"/>
  <c r="U1453"/>
  <c r="T1846"/>
  <c r="S1838"/>
  <c r="S1815"/>
  <c r="S1783"/>
  <c r="S1512"/>
  <c r="U1495"/>
  <c r="R1487"/>
  <c r="V1487" s="1"/>
  <c r="S1466"/>
  <c r="S1434"/>
  <c r="U1365"/>
  <c r="U1172"/>
  <c r="R1150"/>
  <c r="V1150" s="1"/>
  <c r="R1140"/>
  <c r="V1140" s="1"/>
  <c r="R1132"/>
  <c r="V1132" s="1"/>
  <c r="R1122"/>
  <c r="V1122" s="1"/>
  <c r="R1110"/>
  <c r="V1110" s="1"/>
  <c r="U1468"/>
  <c r="T1320"/>
  <c r="R1114"/>
  <c r="V1114" s="1"/>
  <c r="U1065"/>
  <c r="R1050"/>
  <c r="V1050" s="1"/>
  <c r="S1459"/>
  <c r="S1374"/>
  <c r="S1334"/>
  <c r="U1293"/>
  <c r="T1269"/>
  <c r="U1208"/>
  <c r="S1174"/>
  <c r="T1538"/>
  <c r="R1514"/>
  <c r="V1514" s="1"/>
  <c r="S1470"/>
  <c r="R1396"/>
  <c r="V1396" s="1"/>
  <c r="S1542"/>
  <c r="U1433"/>
  <c r="U1335"/>
  <c r="S1303"/>
  <c r="U1255"/>
  <c r="T1203"/>
  <c r="T1158"/>
  <c r="U1129"/>
  <c r="R1104"/>
  <c r="V1104" s="1"/>
  <c r="T1518"/>
  <c r="T1449"/>
  <c r="R1052"/>
  <c r="V1052" s="1"/>
  <c r="S1514"/>
  <c r="T1388"/>
  <c r="R1306"/>
  <c r="V1306" s="1"/>
  <c r="S1275"/>
  <c r="S1239"/>
  <c r="T1193"/>
  <c r="T1115"/>
  <c r="S1078"/>
  <c r="T1437"/>
  <c r="R1867"/>
  <c r="V1867" s="1"/>
  <c r="U1865"/>
  <c r="T1526"/>
  <c r="S1853"/>
  <c r="R1805"/>
  <c r="V1805" s="1"/>
  <c r="U1860"/>
  <c r="U1844"/>
  <c r="S1813"/>
  <c r="R1796"/>
  <c r="V1796" s="1"/>
  <c r="U1780"/>
  <c r="T1457"/>
  <c r="U1387"/>
  <c r="R1197"/>
  <c r="V1197" s="1"/>
  <c r="T1144"/>
  <c r="T1126"/>
  <c r="T1088"/>
  <c r="S1848"/>
  <c r="S1784"/>
  <c r="S1453"/>
  <c r="U1117"/>
  <c r="S1052"/>
  <c r="S1393"/>
  <c r="T1330"/>
  <c r="S1318"/>
  <c r="T1273"/>
  <c r="T1198"/>
  <c r="R1077"/>
  <c r="V1077" s="1"/>
  <c r="S1507"/>
  <c r="T1473"/>
  <c r="R1441"/>
  <c r="V1441" s="1"/>
  <c r="R1070"/>
  <c r="V1070" s="1"/>
  <c r="U1507"/>
  <c r="U1423"/>
  <c r="T1329"/>
  <c r="T1295"/>
  <c r="T1255"/>
  <c r="S1203"/>
  <c r="S1152"/>
  <c r="R1107"/>
  <c r="V1107" s="1"/>
  <c r="R1087"/>
  <c r="V1087" s="1"/>
  <c r="S1066"/>
  <c r="S1482"/>
  <c r="S1388"/>
  <c r="S1518"/>
  <c r="R1482"/>
  <c r="V1482" s="1"/>
  <c r="S1399"/>
  <c r="S1322"/>
  <c r="T1306"/>
  <c r="T1247"/>
  <c r="R1206"/>
  <c r="V1206" s="1"/>
  <c r="S1182"/>
  <c r="S1100"/>
  <c r="T1386"/>
  <c r="S1164"/>
  <c r="R1835"/>
  <c r="V1835" s="1"/>
  <c r="R1225"/>
  <c r="V1225" s="1"/>
  <c r="S1819"/>
  <c r="U1800"/>
  <c r="T1533"/>
  <c r="R1480"/>
  <c r="V1480" s="1"/>
  <c r="R1435"/>
  <c r="V1435" s="1"/>
  <c r="S1846"/>
  <c r="U1820"/>
  <c r="R1854"/>
  <c r="V1854" s="1"/>
  <c r="R1838"/>
  <c r="V1838" s="1"/>
  <c r="U1815"/>
  <c r="T1796"/>
  <c r="T1512"/>
  <c r="R1504"/>
  <c r="V1504" s="1"/>
  <c r="S1487"/>
  <c r="R1457"/>
  <c r="V1457" s="1"/>
  <c r="R1434"/>
  <c r="V1434" s="1"/>
  <c r="T1385"/>
  <c r="R1172"/>
  <c r="V1172" s="1"/>
  <c r="S1136"/>
  <c r="S1118"/>
  <c r="T1833"/>
  <c r="R1839"/>
  <c r="V1839" s="1"/>
  <c r="R1775"/>
  <c r="V1775" s="1"/>
  <c r="S1394"/>
  <c r="U1083"/>
  <c r="T1060"/>
  <c r="U1391"/>
  <c r="T1349"/>
  <c r="S1330"/>
  <c r="R1294"/>
  <c r="V1294" s="1"/>
  <c r="T1279"/>
  <c r="U1250"/>
  <c r="S1177"/>
  <c r="T1077"/>
  <c r="R1518"/>
  <c r="V1518" s="1"/>
  <c r="R1485"/>
  <c r="V1485" s="1"/>
  <c r="T1417"/>
  <c r="R1383"/>
  <c r="V1383" s="1"/>
  <c r="S1538"/>
  <c r="S1421"/>
  <c r="U1369"/>
  <c r="U1303"/>
  <c r="T1259"/>
  <c r="S1162"/>
  <c r="T1107"/>
  <c r="S1515"/>
  <c r="S1443"/>
  <c r="T1498"/>
  <c r="T1396"/>
  <c r="S1306"/>
  <c r="U1239"/>
  <c r="T1206"/>
  <c r="U1189"/>
  <c r="T1101"/>
  <c r="U1078"/>
  <c r="S1315"/>
  <c r="U1282"/>
  <c r="U1246"/>
  <c r="S1194"/>
  <c r="S1155"/>
  <c r="S1111"/>
  <c r="U1067"/>
  <c r="U1344"/>
  <c r="S1296"/>
  <c r="U1258"/>
  <c r="S1202"/>
  <c r="U1153"/>
  <c r="U1121"/>
  <c r="S1071"/>
  <c r="T1288"/>
  <c r="T1252"/>
  <c r="T1204"/>
  <c r="T1155"/>
  <c r="T1111"/>
  <c r="U1290"/>
  <c r="S1244"/>
  <c r="U1212"/>
  <c r="S1163"/>
  <c r="U1125"/>
  <c r="U1069"/>
  <c r="U1348"/>
  <c r="S1304"/>
  <c r="S1266"/>
  <c r="S1232"/>
  <c r="U1184"/>
  <c r="S1137"/>
  <c r="U1099"/>
  <c r="T1304"/>
  <c r="T1266"/>
  <c r="T1232"/>
  <c r="T1178"/>
  <c r="T1127"/>
  <c r="T1057"/>
  <c r="U1209"/>
  <c r="T1048"/>
  <c r="U1082"/>
  <c r="U1217"/>
  <c r="U1048"/>
  <c r="R1116"/>
  <c r="V1116" s="1"/>
  <c r="S1277"/>
  <c r="T1217"/>
  <c r="T1116"/>
  <c r="T1381"/>
  <c r="S1217"/>
  <c r="T1068"/>
  <c r="R1277"/>
  <c r="V1277" s="1"/>
  <c r="T1438"/>
  <c r="U1224"/>
  <c r="T1256"/>
  <c r="T1119"/>
  <c r="R1223"/>
  <c r="V1223" s="1"/>
  <c r="T1209"/>
  <c r="S1116"/>
  <c r="R1051"/>
  <c r="V1051" s="1"/>
  <c r="R1059"/>
  <c r="V1059" s="1"/>
  <c r="R1069"/>
  <c r="V1069" s="1"/>
  <c r="R1081"/>
  <c r="V1081" s="1"/>
  <c r="R1091"/>
  <c r="V1091" s="1"/>
  <c r="R1099"/>
  <c r="V1099" s="1"/>
  <c r="S1112"/>
  <c r="R1125"/>
  <c r="V1125" s="1"/>
  <c r="S1138"/>
  <c r="S1146"/>
  <c r="R1157"/>
  <c r="V1157" s="1"/>
  <c r="R1169"/>
  <c r="V1169" s="1"/>
  <c r="R1176"/>
  <c r="V1176" s="1"/>
  <c r="R1184"/>
  <c r="V1184" s="1"/>
  <c r="R1192"/>
  <c r="V1192" s="1"/>
  <c r="S1211"/>
  <c r="R1222"/>
  <c r="V1222" s="1"/>
  <c r="S1235"/>
  <c r="R1242"/>
  <c r="V1242" s="1"/>
  <c r="R1254"/>
  <c r="V1254" s="1"/>
  <c r="R1268"/>
  <c r="V1268" s="1"/>
  <c r="S1281"/>
  <c r="S1289"/>
  <c r="S1301"/>
  <c r="S1312"/>
  <c r="S1327"/>
  <c r="S1339"/>
  <c r="S1347"/>
  <c r="S1359"/>
  <c r="S1371"/>
  <c r="R1058"/>
  <c r="V1058" s="1"/>
  <c r="R1084"/>
  <c r="V1084" s="1"/>
  <c r="R1112"/>
  <c r="V1112" s="1"/>
  <c r="R1138"/>
  <c r="V1138" s="1"/>
  <c r="R1160"/>
  <c r="V1160" s="1"/>
  <c r="R1179"/>
  <c r="V1179" s="1"/>
  <c r="R1195"/>
  <c r="V1195" s="1"/>
  <c r="R1227"/>
  <c r="V1227" s="1"/>
  <c r="R1253"/>
  <c r="V1253" s="1"/>
  <c r="R1281"/>
  <c r="V1281" s="1"/>
  <c r="R1301"/>
  <c r="V1301" s="1"/>
  <c r="R1327"/>
  <c r="V1327" s="1"/>
  <c r="R1347"/>
  <c r="V1347" s="1"/>
  <c r="R1371"/>
  <c r="V1371" s="1"/>
  <c r="R1404"/>
  <c r="V1404" s="1"/>
  <c r="R1430"/>
  <c r="V1430" s="1"/>
  <c r="R1460"/>
  <c r="V1460" s="1"/>
  <c r="R1494"/>
  <c r="V1494" s="1"/>
  <c r="R1519"/>
  <c r="V1519" s="1"/>
  <c r="T1049"/>
  <c r="T1055"/>
  <c r="R1061"/>
  <c r="V1061" s="1"/>
  <c r="T1069"/>
  <c r="T1075"/>
  <c r="T1085"/>
  <c r="T1095"/>
  <c r="T1103"/>
  <c r="U1112"/>
  <c r="R1123"/>
  <c r="V1123" s="1"/>
  <c r="T1131"/>
  <c r="R1137"/>
  <c r="V1137" s="1"/>
  <c r="U1142"/>
  <c r="T1147"/>
  <c r="T1157"/>
  <c r="R1163"/>
  <c r="V1163" s="1"/>
  <c r="U1173"/>
  <c r="U1179"/>
  <c r="R1186"/>
  <c r="V1186" s="1"/>
  <c r="U1191"/>
  <c r="T1196"/>
  <c r="U1211"/>
  <c r="T1216"/>
  <c r="U1227"/>
  <c r="U1235"/>
  <c r="U1241"/>
  <c r="T1246"/>
  <c r="T1254"/>
  <c r="R1260"/>
  <c r="V1260" s="1"/>
  <c r="R1270"/>
  <c r="V1270" s="1"/>
  <c r="T1278"/>
  <c r="R1284"/>
  <c r="V1284" s="1"/>
  <c r="U1289"/>
  <c r="T1298"/>
  <c r="R1304"/>
  <c r="V1304" s="1"/>
  <c r="R1311"/>
  <c r="V1311" s="1"/>
  <c r="U1316"/>
  <c r="T1054"/>
  <c r="S1059"/>
  <c r="R1072"/>
  <c r="V1072" s="1"/>
  <c r="S1101"/>
  <c r="S1115"/>
  <c r="U1123"/>
  <c r="S1131"/>
  <c r="U1137"/>
  <c r="T1142"/>
  <c r="S1147"/>
  <c r="S1200"/>
  <c r="S1212"/>
  <c r="S1230"/>
  <c r="R1269"/>
  <c r="V1269" s="1"/>
  <c r="R1283"/>
  <c r="V1283" s="1"/>
  <c r="R1318"/>
  <c r="V1318" s="1"/>
  <c r="S1333"/>
  <c r="S1344"/>
  <c r="T1356"/>
  <c r="R1362"/>
  <c r="V1362" s="1"/>
  <c r="S1373"/>
  <c r="T1380"/>
  <c r="U1388"/>
  <c r="U1392"/>
  <c r="U1399"/>
  <c r="U1410"/>
  <c r="S1422"/>
  <c r="R1431"/>
  <c r="V1431" s="1"/>
  <c r="U1446"/>
  <c r="U1454"/>
  <c r="T1460"/>
  <c r="R1464"/>
  <c r="V1464" s="1"/>
  <c r="U1483"/>
  <c r="U1490"/>
  <c r="U1498"/>
  <c r="S1506"/>
  <c r="T1516"/>
  <c r="R1521"/>
  <c r="V1521" s="1"/>
  <c r="R1529"/>
  <c r="V1529" s="1"/>
  <c r="S1087"/>
  <c r="T1098"/>
  <c r="U1167"/>
  <c r="T1183"/>
  <c r="S1188"/>
  <c r="U1194"/>
  <c r="S1224"/>
  <c r="S1238"/>
  <c r="U1244"/>
  <c r="S1321"/>
  <c r="U1327"/>
  <c r="R1333"/>
  <c r="V1333" s="1"/>
  <c r="S1341"/>
  <c r="S1356"/>
  <c r="U1371"/>
  <c r="R1377"/>
  <c r="V1377" s="1"/>
  <c r="U1400"/>
  <c r="U1417"/>
  <c r="S1430"/>
  <c r="S1448"/>
  <c r="U1473"/>
  <c r="U1488"/>
  <c r="T1500"/>
  <c r="U1509"/>
  <c r="U1538"/>
  <c r="T1084"/>
  <c r="U1155"/>
  <c r="T1160"/>
  <c r="T1205"/>
  <c r="T1235"/>
  <c r="T1253"/>
  <c r="S1258"/>
  <c r="T1297"/>
  <c r="S1302"/>
  <c r="U1311"/>
  <c r="T1316"/>
  <c r="T1327"/>
  <c r="T1332"/>
  <c r="R1341"/>
  <c r="V1341" s="1"/>
  <c r="R1349"/>
  <c r="V1349" s="1"/>
  <c r="T1371"/>
  <c r="U1384"/>
  <c r="U1397"/>
  <c r="S1410"/>
  <c r="U1429"/>
  <c r="U1447"/>
  <c r="T1461"/>
  <c r="S1490"/>
  <c r="U1510"/>
  <c r="T1523"/>
  <c r="U1174"/>
  <c r="R1233"/>
  <c r="V1233" s="1"/>
  <c r="U1266"/>
  <c r="U1274"/>
  <c r="U1355"/>
  <c r="T1393"/>
  <c r="R1421"/>
  <c r="V1421" s="1"/>
  <c r="R1470"/>
  <c r="V1470" s="1"/>
  <c r="S1523"/>
  <c r="T1813"/>
  <c r="U1786"/>
  <c r="S1824"/>
  <c r="R1863"/>
  <c r="V1863" s="1"/>
  <c r="S1332"/>
  <c r="U1409"/>
  <c r="S1836"/>
  <c r="R1859"/>
  <c r="V1859" s="1"/>
  <c r="R1086"/>
  <c r="V1086" s="1"/>
  <c r="R1203"/>
  <c r="V1203" s="1"/>
  <c r="U1284"/>
  <c r="U1308"/>
  <c r="U1358"/>
  <c r="S1413"/>
  <c r="T1447"/>
  <c r="U1496"/>
  <c r="R1535"/>
  <c r="V1535" s="1"/>
  <c r="T1825"/>
  <c r="U1818"/>
  <c r="T1090"/>
  <c r="R1365"/>
  <c r="V1365" s="1"/>
  <c r="T1429"/>
  <c r="S1529"/>
  <c r="U1814"/>
  <c r="U1862"/>
  <c r="R1162"/>
  <c r="V1162" s="1"/>
  <c r="T1267"/>
  <c r="R1303"/>
  <c r="V1303" s="1"/>
  <c r="S1368"/>
  <c r="T1387"/>
  <c r="R1415"/>
  <c r="V1415" s="1"/>
  <c r="S1426"/>
  <c r="R1437"/>
  <c r="V1437" s="1"/>
  <c r="U1460"/>
  <c r="R1473"/>
  <c r="V1473" s="1"/>
  <c r="T1491"/>
  <c r="U1512"/>
  <c r="R1538"/>
  <c r="V1538" s="1"/>
  <c r="R1106"/>
  <c r="V1106" s="1"/>
  <c r="U1362"/>
  <c r="T1469"/>
  <c r="R1501"/>
  <c r="V1501" s="1"/>
  <c r="U1806"/>
  <c r="T1853"/>
  <c r="U1867"/>
  <c r="U1849"/>
  <c r="R1778"/>
  <c r="V1778" s="1"/>
  <c r="U1376"/>
  <c r="U1852"/>
  <c r="R1798"/>
  <c r="V1798" s="1"/>
  <c r="S1524"/>
  <c r="U1481"/>
  <c r="R1468"/>
  <c r="V1468" s="1"/>
  <c r="R1406"/>
  <c r="V1406" s="1"/>
  <c r="T1367"/>
  <c r="R1170"/>
  <c r="V1170" s="1"/>
  <c r="R1108"/>
  <c r="V1108" s="1"/>
  <c r="R1100"/>
  <c r="V1100" s="1"/>
  <c r="T1832"/>
  <c r="T1219"/>
  <c r="R1836"/>
  <c r="V1836" s="1"/>
  <c r="S1789"/>
  <c r="S1841"/>
  <c r="U1824"/>
  <c r="S1793"/>
  <c r="R1776"/>
  <c r="V1776" s="1"/>
  <c r="T1435"/>
  <c r="R1801"/>
  <c r="V1801" s="1"/>
  <c r="U1445"/>
  <c r="R1151"/>
  <c r="V1151" s="1"/>
  <c r="S1807"/>
  <c r="U1501"/>
  <c r="U1405"/>
  <c r="R1858"/>
  <c r="V1858" s="1"/>
  <c r="S1787"/>
  <c r="T1472"/>
  <c r="U1361"/>
  <c r="R1862"/>
  <c r="V1862" s="1"/>
  <c r="U1791"/>
  <c r="R1866"/>
  <c r="V1866" s="1"/>
  <c r="U1843"/>
  <c r="U1827"/>
  <c r="T1808"/>
  <c r="R1786"/>
  <c r="V1786" s="1"/>
  <c r="U1822"/>
  <c r="S1844"/>
  <c r="S1849"/>
  <c r="S1785"/>
  <c r="T1151"/>
  <c r="S1823"/>
  <c r="T1525"/>
  <c r="S1489"/>
  <c r="R1477"/>
  <c r="V1477" s="1"/>
  <c r="S1408"/>
  <c r="R1367"/>
  <c r="V1367" s="1"/>
  <c r="S1352"/>
  <c r="R1220"/>
  <c r="V1220" s="1"/>
  <c r="R1201"/>
  <c r="V1201" s="1"/>
  <c r="U1264"/>
  <c r="T1851"/>
  <c r="U1816"/>
  <c r="U1414"/>
  <c r="T1862"/>
  <c r="T1791"/>
  <c r="U1775"/>
  <c r="T1850"/>
  <c r="T1834"/>
  <c r="T1818"/>
  <c r="T1802"/>
  <c r="T1786"/>
  <c r="U1531"/>
  <c r="U1838"/>
  <c r="S1828"/>
  <c r="S1801"/>
  <c r="T1376"/>
  <c r="R1804"/>
  <c r="V1804" s="1"/>
  <c r="R1432"/>
  <c r="V1432" s="1"/>
  <c r="S1346"/>
  <c r="S1210"/>
  <c r="T1130"/>
  <c r="S1851"/>
  <c r="U1832"/>
  <c r="R1784"/>
  <c r="V1784" s="1"/>
  <c r="U1513"/>
  <c r="R1467"/>
  <c r="V1467" s="1"/>
  <c r="T1353"/>
  <c r="S1855"/>
  <c r="S1866"/>
  <c r="S1843"/>
  <c r="S1811"/>
  <c r="S1779"/>
  <c r="R1511"/>
  <c r="V1511" s="1"/>
  <c r="S1420"/>
  <c r="U1386"/>
  <c r="R1465"/>
  <c r="V1465" s="1"/>
  <c r="S1231"/>
  <c r="T1291"/>
  <c r="R1338"/>
  <c r="V1338" s="1"/>
  <c r="T1803"/>
  <c r="T1471"/>
  <c r="U1853"/>
  <c r="T1820"/>
  <c r="U1861"/>
  <c r="T1838"/>
  <c r="T1815"/>
  <c r="T1799"/>
  <c r="T1783"/>
  <c r="U1466"/>
  <c r="S1342"/>
  <c r="U1858"/>
  <c r="U1794"/>
  <c r="T1477"/>
  <c r="U1306"/>
  <c r="T1064"/>
  <c r="T1529"/>
  <c r="S1389"/>
  <c r="U1337"/>
  <c r="U1318"/>
  <c r="T1283"/>
  <c r="T1250"/>
  <c r="U1076"/>
  <c r="S1503"/>
  <c r="R1458"/>
  <c r="V1458" s="1"/>
  <c r="U1503"/>
  <c r="T1377"/>
  <c r="U1310"/>
  <c r="S1259"/>
  <c r="U1221"/>
  <c r="U1166"/>
  <c r="U1152"/>
  <c r="R1092"/>
  <c r="V1092" s="1"/>
  <c r="R1066"/>
  <c r="V1066" s="1"/>
  <c r="S1498"/>
  <c r="S1412"/>
  <c r="S1522"/>
  <c r="T1458"/>
  <c r="T1392"/>
  <c r="S1354"/>
  <c r="R1292"/>
  <c r="V1292" s="1"/>
  <c r="T1230"/>
  <c r="U1193"/>
  <c r="T1167"/>
  <c r="U1100"/>
  <c r="S1437"/>
  <c r="U1357"/>
  <c r="U1472"/>
  <c r="U1848"/>
  <c r="S1810"/>
  <c r="S1533"/>
  <c r="R1456"/>
  <c r="V1456" s="1"/>
  <c r="S1261"/>
  <c r="S1847"/>
  <c r="S1822"/>
  <c r="S1790"/>
  <c r="R1532"/>
  <c r="V1532" s="1"/>
  <c r="S1504"/>
  <c r="U1487"/>
  <c r="R1475"/>
  <c r="V1475" s="1"/>
  <c r="S1439"/>
  <c r="R1385"/>
  <c r="V1385" s="1"/>
  <c r="S1172"/>
  <c r="U1150"/>
  <c r="U1140"/>
  <c r="U1132"/>
  <c r="U1122"/>
  <c r="U1110"/>
  <c r="U1218"/>
  <c r="T1481"/>
  <c r="T1408"/>
  <c r="T1166"/>
  <c r="R1065"/>
  <c r="V1065" s="1"/>
  <c r="T1052"/>
  <c r="T1521"/>
  <c r="S1384"/>
  <c r="T1337"/>
  <c r="S1307"/>
  <c r="U1273"/>
  <c r="R1208"/>
  <c r="V1208" s="1"/>
  <c r="U1177"/>
  <c r="S1072"/>
  <c r="R1516"/>
  <c r="V1516" s="1"/>
  <c r="R1484"/>
  <c r="V1484" s="1"/>
  <c r="R1401"/>
  <c r="V1401" s="1"/>
  <c r="T1478"/>
  <c r="U1373"/>
  <c r="T1310"/>
  <c r="U1263"/>
  <c r="T1218"/>
  <c r="U1162"/>
  <c r="R1129"/>
  <c r="V1129" s="1"/>
  <c r="T1106"/>
  <c r="S1528"/>
  <c r="S1463"/>
  <c r="S1383"/>
  <c r="U1520"/>
  <c r="U1401"/>
  <c r="T1322"/>
  <c r="U1276"/>
  <c r="T1243"/>
  <c r="U1199"/>
  <c r="S1167"/>
  <c r="R1093"/>
  <c r="V1093" s="1"/>
  <c r="U1437"/>
  <c r="T1066"/>
  <c r="U1398"/>
  <c r="S1814"/>
  <c r="R1860"/>
  <c r="V1860" s="1"/>
  <c r="R1844"/>
  <c r="V1844" s="1"/>
  <c r="U1828"/>
  <c r="S1797"/>
  <c r="R1780"/>
  <c r="V1780" s="1"/>
  <c r="R1387"/>
  <c r="V1387" s="1"/>
  <c r="U1350"/>
  <c r="T1150"/>
  <c r="T1132"/>
  <c r="T1110"/>
  <c r="S1864"/>
  <c r="S1800"/>
  <c r="R1471"/>
  <c r="V1471" s="1"/>
  <c r="S1262"/>
  <c r="T1056"/>
  <c r="S1429"/>
  <c r="U1341"/>
  <c r="U1319"/>
  <c r="U1279"/>
  <c r="T1208"/>
  <c r="T1089"/>
  <c r="S1540"/>
  <c r="S1492"/>
  <c r="R1446"/>
  <c r="V1446" s="1"/>
  <c r="S1415"/>
  <c r="U1540"/>
  <c r="S1473"/>
  <c r="T1335"/>
  <c r="U1299"/>
  <c r="U1259"/>
  <c r="S1218"/>
  <c r="S1158"/>
  <c r="T1117"/>
  <c r="S1092"/>
  <c r="R1083"/>
  <c r="V1083" s="1"/>
  <c r="S1496"/>
  <c r="S1401"/>
  <c r="U1528"/>
  <c r="U1485"/>
  <c r="T1428"/>
  <c r="S1358"/>
  <c r="R1317"/>
  <c r="V1317" s="1"/>
  <c r="T1264"/>
  <c r="S1225"/>
  <c r="U1185"/>
  <c r="U1101"/>
  <c r="R1386"/>
  <c r="V1386" s="1"/>
  <c r="R1231"/>
  <c r="V1231" s="1"/>
  <c r="T1411"/>
  <c r="S1826"/>
  <c r="R1800"/>
  <c r="V1800" s="1"/>
  <c r="S1537"/>
  <c r="T1480"/>
  <c r="U1435"/>
  <c r="R1261"/>
  <c r="V1261" s="1"/>
  <c r="R1820"/>
  <c r="V1820" s="1"/>
  <c r="T1860"/>
  <c r="T1844"/>
  <c r="R1822"/>
  <c r="V1822" s="1"/>
  <c r="U1799"/>
  <c r="T1780"/>
  <c r="T1532"/>
  <c r="T1504"/>
  <c r="R1491"/>
  <c r="V1491" s="1"/>
  <c r="T1475"/>
  <c r="T1434"/>
  <c r="S1387"/>
  <c r="U1342"/>
  <c r="S1140"/>
  <c r="S1122"/>
  <c r="U1088"/>
  <c r="R1855"/>
  <c r="V1855" s="1"/>
  <c r="R1791"/>
  <c r="V1791" s="1"/>
  <c r="S1406"/>
  <c r="T1104"/>
  <c r="U1064"/>
  <c r="U1413"/>
  <c r="S1370"/>
  <c r="U1336"/>
  <c r="U1307"/>
  <c r="U1283"/>
  <c r="R1250"/>
  <c r="V1250" s="1"/>
  <c r="S1198"/>
  <c r="S1089"/>
  <c r="U1047"/>
  <c r="R1522"/>
  <c r="V1522" s="1"/>
  <c r="S1500"/>
  <c r="S1436"/>
  <c r="R1392"/>
  <c r="V1392" s="1"/>
  <c r="T1470"/>
  <c r="U1377"/>
  <c r="S1314"/>
  <c r="S1263"/>
  <c r="S1181"/>
  <c r="S1117"/>
  <c r="T1083"/>
  <c r="T1522"/>
  <c r="S1458"/>
  <c r="R1060"/>
  <c r="V1060" s="1"/>
  <c r="U1516"/>
  <c r="T1446"/>
  <c r="T1317"/>
  <c r="S1247"/>
  <c r="S1229"/>
  <c r="S1199"/>
  <c r="T1114"/>
  <c r="R1078"/>
  <c r="V1078" s="1"/>
  <c r="S1288"/>
  <c r="U1254"/>
  <c r="S1204"/>
  <c r="U1169"/>
  <c r="S1123"/>
  <c r="S1073"/>
  <c r="U1356"/>
  <c r="U1313"/>
  <c r="U1268"/>
  <c r="S1214"/>
  <c r="S1159"/>
  <c r="S1127"/>
  <c r="S1097"/>
  <c r="T1300"/>
  <c r="T1260"/>
  <c r="T1226"/>
  <c r="T1163"/>
  <c r="T1123"/>
  <c r="T1053"/>
  <c r="S1300"/>
  <c r="S1252"/>
  <c r="S1226"/>
  <c r="U1171"/>
  <c r="S1133"/>
  <c r="U1075"/>
  <c r="T1050"/>
  <c r="U1360"/>
  <c r="S1311"/>
  <c r="U1278"/>
  <c r="U1242"/>
  <c r="S1190"/>
  <c r="U1147"/>
  <c r="U1105"/>
  <c r="T1311"/>
  <c r="T1274"/>
  <c r="T1240"/>
  <c r="T1190"/>
  <c r="T1137"/>
  <c r="T1071"/>
  <c r="R1209"/>
  <c r="V1209" s="1"/>
  <c r="R1082"/>
  <c r="V1082" s="1"/>
  <c r="U1381"/>
  <c r="R1217"/>
  <c r="V1217" s="1"/>
  <c r="R1048"/>
  <c r="V1048" s="1"/>
  <c r="S1102"/>
  <c r="T1148"/>
  <c r="S1237"/>
  <c r="S1082"/>
  <c r="S1148"/>
  <c r="U1102"/>
  <c r="R1438"/>
  <c r="V1438" s="1"/>
  <c r="T1194"/>
  <c r="U1321"/>
  <c r="U1238"/>
  <c r="U1157"/>
  <c r="S1256"/>
  <c r="S1057"/>
  <c r="T1214"/>
  <c r="T1223"/>
  <c r="R1148"/>
  <c r="V1148" s="1"/>
  <c r="S1381"/>
  <c r="U1424"/>
  <c r="R1049"/>
  <c r="V1049" s="1"/>
  <c r="S1058"/>
  <c r="R1067"/>
  <c r="V1067" s="1"/>
  <c r="S1080"/>
  <c r="S1090"/>
  <c r="S1098"/>
  <c r="R1109"/>
  <c r="V1109" s="1"/>
  <c r="S1124"/>
  <c r="R1135"/>
  <c r="V1135" s="1"/>
  <c r="R1143"/>
  <c r="V1143" s="1"/>
  <c r="S1156"/>
  <c r="S1168"/>
  <c r="S1175"/>
  <c r="S1183"/>
  <c r="S1191"/>
  <c r="S1205"/>
  <c r="R1216"/>
  <c r="V1216" s="1"/>
  <c r="R1228"/>
  <c r="V1228" s="1"/>
  <c r="S1241"/>
  <c r="S1253"/>
  <c r="S1267"/>
  <c r="R1278"/>
  <c r="V1278" s="1"/>
  <c r="R1286"/>
  <c r="V1286" s="1"/>
  <c r="R1298"/>
  <c r="V1298" s="1"/>
  <c r="R1309"/>
  <c r="V1309" s="1"/>
  <c r="R1321"/>
  <c r="V1321" s="1"/>
  <c r="R1332"/>
  <c r="V1332" s="1"/>
  <c r="R1344"/>
  <c r="V1344" s="1"/>
  <c r="R1356"/>
  <c r="V1356" s="1"/>
  <c r="R1368"/>
  <c r="V1368" s="1"/>
  <c r="R1380"/>
  <c r="V1380" s="1"/>
  <c r="R1054"/>
  <c r="V1054" s="1"/>
  <c r="R1080"/>
  <c r="V1080" s="1"/>
  <c r="R1098"/>
  <c r="V1098" s="1"/>
  <c r="R1134"/>
  <c r="V1134" s="1"/>
  <c r="R1156"/>
  <c r="V1156" s="1"/>
  <c r="R1175"/>
  <c r="V1175" s="1"/>
  <c r="R1191"/>
  <c r="V1191" s="1"/>
  <c r="R1215"/>
  <c r="V1215" s="1"/>
  <c r="R1245"/>
  <c r="V1245" s="1"/>
  <c r="R1271"/>
  <c r="V1271" s="1"/>
  <c r="R1297"/>
  <c r="V1297" s="1"/>
  <c r="R1316"/>
  <c r="V1316" s="1"/>
  <c r="R1343"/>
  <c r="V1343" s="1"/>
  <c r="R1363"/>
  <c r="V1363" s="1"/>
  <c r="R1400"/>
  <c r="V1400" s="1"/>
  <c r="R1422"/>
  <c r="V1422" s="1"/>
  <c r="R1450"/>
  <c r="V1450" s="1"/>
  <c r="R1490"/>
  <c r="V1490" s="1"/>
  <c r="R1510"/>
  <c r="V1510" s="1"/>
  <c r="U1054"/>
  <c r="T1059"/>
  <c r="T1067"/>
  <c r="U1074"/>
  <c r="U1084"/>
  <c r="U1094"/>
  <c r="T1099"/>
  <c r="R1111"/>
  <c r="V1111" s="1"/>
  <c r="T1121"/>
  <c r="R1127"/>
  <c r="V1127" s="1"/>
  <c r="T1135"/>
  <c r="R1141"/>
  <c r="V1141" s="1"/>
  <c r="U1146"/>
  <c r="U1156"/>
  <c r="T1161"/>
  <c r="T1171"/>
  <c r="R1178"/>
  <c r="V1178" s="1"/>
  <c r="T1184"/>
  <c r="R1190"/>
  <c r="V1190" s="1"/>
  <c r="U1195"/>
  <c r="U1205"/>
  <c r="U1215"/>
  <c r="R1226"/>
  <c r="V1226" s="1"/>
  <c r="R1234"/>
  <c r="V1234" s="1"/>
  <c r="R1240"/>
  <c r="V1240" s="1"/>
  <c r="U1245"/>
  <c r="U1253"/>
  <c r="T1258"/>
  <c r="T1268"/>
  <c r="R1274"/>
  <c r="V1274" s="1"/>
  <c r="T1282"/>
  <c r="R1288"/>
  <c r="V1288" s="1"/>
  <c r="U1297"/>
  <c r="T1302"/>
  <c r="T1309"/>
  <c r="R1315"/>
  <c r="V1315" s="1"/>
  <c r="U1053"/>
  <c r="T1058"/>
  <c r="S1063"/>
  <c r="S1081"/>
  <c r="T1112"/>
  <c r="S1121"/>
  <c r="U1127"/>
  <c r="S1135"/>
  <c r="U1141"/>
  <c r="T1146"/>
  <c r="R1177"/>
  <c r="V1177" s="1"/>
  <c r="T1211"/>
  <c r="S1216"/>
  <c r="R1265"/>
  <c r="V1265" s="1"/>
  <c r="R1279"/>
  <c r="V1279" s="1"/>
  <c r="R1307"/>
  <c r="V1307" s="1"/>
  <c r="S1329"/>
  <c r="S1340"/>
  <c r="T1355"/>
  <c r="T1360"/>
  <c r="S1369"/>
  <c r="T1379"/>
  <c r="R1384"/>
  <c r="V1384" s="1"/>
  <c r="R1391"/>
  <c r="V1391" s="1"/>
  <c r="R1397"/>
  <c r="V1397" s="1"/>
  <c r="U1403"/>
  <c r="S1418"/>
  <c r="T1430"/>
  <c r="R1444"/>
  <c r="V1444" s="1"/>
  <c r="U1449"/>
  <c r="R1459"/>
  <c r="V1459" s="1"/>
  <c r="T1463"/>
  <c r="T1482"/>
  <c r="U1486"/>
  <c r="U1497"/>
  <c r="S1502"/>
  <c r="U1515"/>
  <c r="T1520"/>
  <c r="T1528"/>
  <c r="U1071"/>
  <c r="U1097"/>
  <c r="S1129"/>
  <c r="U1182"/>
  <c r="T1187"/>
  <c r="S1192"/>
  <c r="U1206"/>
  <c r="S1228"/>
  <c r="S1242"/>
  <c r="U1248"/>
  <c r="U1326"/>
  <c r="U1331"/>
  <c r="S1337"/>
  <c r="S1351"/>
  <c r="U1370"/>
  <c r="U1375"/>
  <c r="S1390"/>
  <c r="T1415"/>
  <c r="T1423"/>
  <c r="U1442"/>
  <c r="U1470"/>
  <c r="T1486"/>
  <c r="T1494"/>
  <c r="T1507"/>
  <c r="U1535"/>
  <c r="S1077"/>
  <c r="S1153"/>
  <c r="U1159"/>
  <c r="U1204"/>
  <c r="U1234"/>
  <c r="U1252"/>
  <c r="T1257"/>
  <c r="U1296"/>
  <c r="T1301"/>
  <c r="S1309"/>
  <c r="U1315"/>
  <c r="R1326"/>
  <c r="V1326" s="1"/>
  <c r="T1331"/>
  <c r="U1339"/>
  <c r="U1347"/>
  <c r="R1370"/>
  <c r="V1370" s="1"/>
  <c r="T1375"/>
  <c r="U1393"/>
  <c r="T1404"/>
  <c r="U1422"/>
  <c r="U1444"/>
  <c r="U1459"/>
  <c r="S1476"/>
  <c r="U1506"/>
  <c r="U1521"/>
  <c r="S1065"/>
  <c r="S1180"/>
  <c r="R1259"/>
  <c r="V1259" s="1"/>
  <c r="S1272"/>
  <c r="T1343"/>
  <c r="S1372"/>
  <c r="R1417"/>
  <c r="V1417" s="1"/>
  <c r="S1450"/>
  <c r="T1510"/>
  <c r="T1797"/>
  <c r="T1861"/>
  <c r="S1808"/>
  <c r="S1856"/>
  <c r="T1285"/>
  <c r="U1364"/>
  <c r="U1782"/>
  <c r="S1852"/>
  <c r="S1075"/>
  <c r="U1198"/>
  <c r="S1282"/>
  <c r="S1290"/>
  <c r="T1344"/>
  <c r="T1397"/>
  <c r="R1433"/>
  <c r="V1433" s="1"/>
  <c r="R1478"/>
  <c r="V1478" s="1"/>
  <c r="S1517"/>
  <c r="T1809"/>
  <c r="R1815"/>
  <c r="V1815" s="1"/>
  <c r="T1074"/>
  <c r="T1340"/>
  <c r="U1420"/>
  <c r="R1509"/>
  <c r="V1509" s="1"/>
  <c r="R1811"/>
  <c r="V1811" s="1"/>
  <c r="U1830"/>
  <c r="R1158"/>
  <c r="V1158" s="1"/>
  <c r="T1179"/>
  <c r="R1299"/>
  <c r="V1299" s="1"/>
  <c r="U1359"/>
  <c r="S1386"/>
  <c r="S1400"/>
  <c r="T1425"/>
  <c r="R1436"/>
  <c r="V1436" s="1"/>
  <c r="T1459"/>
  <c r="T1466"/>
  <c r="T1487"/>
  <c r="U1508"/>
  <c r="U1536"/>
  <c r="R1831"/>
  <c r="V1831" s="1"/>
  <c r="T1348"/>
  <c r="S1461"/>
  <c r="R1492"/>
  <c r="V1492" s="1"/>
  <c r="T1531"/>
  <c r="U1798"/>
  <c r="U1854"/>
  <c r="U1541"/>
  <c r="R1849"/>
  <c r="V1849" s="1"/>
  <c r="U1785"/>
  <c r="S1376"/>
  <c r="R1079"/>
  <c r="V1079" s="1"/>
  <c r="T1804"/>
  <c r="R1525"/>
  <c r="V1525" s="1"/>
  <c r="T1489"/>
  <c r="T1468"/>
  <c r="S1432"/>
  <c r="S1367"/>
  <c r="S1201"/>
  <c r="U1130"/>
  <c r="T1181"/>
  <c r="T1842"/>
  <c r="T1784"/>
  <c r="U1839"/>
  <c r="U1821"/>
  <c r="U1856"/>
  <c r="R1824"/>
  <c r="V1824" s="1"/>
  <c r="U1808"/>
  <c r="S1777"/>
  <c r="T1805"/>
  <c r="S1780"/>
  <c r="S1833"/>
  <c r="T1213"/>
  <c r="T1823"/>
  <c r="U1788"/>
  <c r="U1524"/>
  <c r="U1408"/>
  <c r="R1210"/>
  <c r="V1210" s="1"/>
  <c r="T1078"/>
  <c r="S1794"/>
  <c r="S1513"/>
  <c r="S1411"/>
  <c r="T1868"/>
  <c r="T1836"/>
  <c r="R1850"/>
  <c r="V1850" s="1"/>
  <c r="R1834"/>
  <c r="V1834" s="1"/>
  <c r="U1811"/>
  <c r="T1792"/>
  <c r="R1361"/>
  <c r="V1361" s="1"/>
  <c r="U1533"/>
  <c r="S1867"/>
  <c r="U1817"/>
  <c r="S1213"/>
  <c r="R1852"/>
  <c r="V1852" s="1"/>
  <c r="R1530"/>
  <c r="V1530" s="1"/>
  <c r="T1493"/>
  <c r="U1477"/>
  <c r="R1451"/>
  <c r="V1451" s="1"/>
  <c r="T1394"/>
  <c r="U1352"/>
  <c r="T1262"/>
  <c r="U1201"/>
  <c r="S1108"/>
  <c r="T1858"/>
  <c r="R1816"/>
  <c r="V1816" s="1"/>
  <c r="R1414"/>
  <c r="V1414" s="1"/>
  <c r="S1353"/>
  <c r="S1821"/>
  <c r="R1782"/>
  <c r="V1782" s="1"/>
  <c r="U1857"/>
  <c r="U1840"/>
  <c r="U1825"/>
  <c r="U1809"/>
  <c r="U1793"/>
  <c r="U1777"/>
  <c r="R1531"/>
  <c r="V1531" s="1"/>
  <c r="S1398"/>
  <c r="U1537"/>
  <c r="U1833"/>
  <c r="R1395"/>
  <c r="V1395" s="1"/>
  <c r="U1807"/>
  <c r="U1452"/>
  <c r="U1394"/>
  <c r="T1220"/>
  <c r="T1170"/>
  <c r="R1832"/>
  <c r="V1832" s="1"/>
  <c r="U1787"/>
  <c r="S1467"/>
  <c r="R1411"/>
  <c r="V1411" s="1"/>
  <c r="S1862"/>
  <c r="T1775"/>
  <c r="S1850"/>
  <c r="S1818"/>
  <c r="S1786"/>
  <c r="S1511"/>
  <c r="U1427"/>
  <c r="T1409"/>
  <c r="T1849"/>
  <c r="S1409"/>
  <c r="T1414"/>
  <c r="S1151"/>
  <c r="T1810"/>
  <c r="R1853"/>
  <c r="V1853" s="1"/>
  <c r="S1830"/>
  <c r="T1863"/>
  <c r="U1845"/>
  <c r="T1822"/>
  <c r="T1806"/>
  <c r="T1790"/>
  <c r="R1466"/>
  <c r="V1466" s="1"/>
  <c r="U1385"/>
  <c r="U1810"/>
  <c r="U1489"/>
  <c r="S1395"/>
  <c r="T1402"/>
  <c r="U1345"/>
  <c r="S1323"/>
  <c r="U1287"/>
  <c r="T1265"/>
  <c r="S1113"/>
  <c r="S1535"/>
  <c r="R1463"/>
  <c r="V1463" s="1"/>
  <c r="S1419"/>
  <c r="T1535"/>
  <c r="S1382"/>
  <c r="T1325"/>
  <c r="S1291"/>
  <c r="R1221"/>
  <c r="V1221" s="1"/>
  <c r="R1166"/>
  <c r="V1166" s="1"/>
  <c r="R1152"/>
  <c r="V1152" s="1"/>
  <c r="U1106"/>
  <c r="S1083"/>
  <c r="S1516"/>
  <c r="S1446"/>
  <c r="R1064"/>
  <c r="V1064" s="1"/>
  <c r="S1483"/>
  <c r="S1403"/>
  <c r="S1362"/>
  <c r="S1317"/>
  <c r="T1239"/>
  <c r="T1200"/>
  <c r="R1182"/>
  <c r="V1182" s="1"/>
  <c r="S1114"/>
  <c r="U1469"/>
  <c r="R1409"/>
  <c r="V1409" s="1"/>
  <c r="R1865"/>
  <c r="V1865" s="1"/>
  <c r="U1819"/>
  <c r="R1537"/>
  <c r="V1537" s="1"/>
  <c r="U1471"/>
  <c r="T1398"/>
  <c r="S1863"/>
  <c r="R1829"/>
  <c r="V1829" s="1"/>
  <c r="S1799"/>
  <c r="S1532"/>
  <c r="R1508"/>
  <c r="V1508" s="1"/>
  <c r="S1491"/>
  <c r="S1475"/>
  <c r="R1440"/>
  <c r="V1440" s="1"/>
  <c r="R1425"/>
  <c r="V1425" s="1"/>
  <c r="T1197"/>
  <c r="U1165"/>
  <c r="R1144"/>
  <c r="V1144" s="1"/>
  <c r="R1136"/>
  <c r="V1136" s="1"/>
  <c r="R1126"/>
  <c r="V1126" s="1"/>
  <c r="R1118"/>
  <c r="V1118" s="1"/>
  <c r="T1785"/>
  <c r="U1493"/>
  <c r="T1432"/>
  <c r="S1220"/>
  <c r="U1056"/>
  <c r="S1397"/>
  <c r="T1345"/>
  <c r="T1318"/>
  <c r="S1283"/>
  <c r="U1249"/>
  <c r="R1198"/>
  <c r="V1198" s="1"/>
  <c r="T1076"/>
  <c r="R1520"/>
  <c r="V1520" s="1"/>
  <c r="S1488"/>
  <c r="T1421"/>
  <c r="R1486"/>
  <c r="V1486" s="1"/>
  <c r="S1379"/>
  <c r="U1314"/>
  <c r="R1263"/>
  <c r="V1263" s="1"/>
  <c r="S1233"/>
  <c r="U1181"/>
  <c r="T1149"/>
  <c r="R1117"/>
  <c r="V1117" s="1"/>
  <c r="T1086"/>
  <c r="S1485"/>
  <c r="T1399"/>
  <c r="S1441"/>
  <c r="T1358"/>
  <c r="R1276"/>
  <c r="V1276" s="1"/>
  <c r="U1247"/>
  <c r="T1225"/>
  <c r="T1182"/>
  <c r="S1096"/>
  <c r="R1469"/>
  <c r="V1469" s="1"/>
  <c r="R1164"/>
  <c r="V1164" s="1"/>
  <c r="T1819"/>
  <c r="T1453"/>
  <c r="R1830"/>
  <c r="V1830" s="1"/>
  <c r="S1861"/>
  <c r="S1845"/>
  <c r="R1828"/>
  <c r="V1828" s="1"/>
  <c r="U1812"/>
  <c r="S1781"/>
  <c r="U1426"/>
  <c r="T1350"/>
  <c r="T1165"/>
  <c r="T1136"/>
  <c r="T1118"/>
  <c r="S1816"/>
  <c r="T1524"/>
  <c r="U1322"/>
  <c r="U1060"/>
  <c r="S1455"/>
  <c r="U1349"/>
  <c r="R1319"/>
  <c r="V1319" s="1"/>
  <c r="S1287"/>
  <c r="T1249"/>
  <c r="R1113"/>
  <c r="V1113" s="1"/>
  <c r="S1076"/>
  <c r="R1497"/>
  <c r="V1497" s="1"/>
  <c r="R1454"/>
  <c r="V1454" s="1"/>
  <c r="S1423"/>
  <c r="T1492"/>
  <c r="T1373"/>
  <c r="S1310"/>
  <c r="U1291"/>
  <c r="S1221"/>
  <c r="T1162"/>
  <c r="T1129"/>
  <c r="S1106"/>
  <c r="S1086"/>
  <c r="T1514"/>
  <c r="T1441"/>
  <c r="R1496"/>
  <c r="V1496" s="1"/>
  <c r="S1449"/>
  <c r="S1364"/>
  <c r="U1320"/>
  <c r="T1276"/>
  <c r="T1229"/>
  <c r="S1193"/>
  <c r="R1101"/>
  <c r="V1101" s="1"/>
  <c r="S1070"/>
  <c r="T1420"/>
  <c r="S1357"/>
  <c r="U1467"/>
  <c r="U1803"/>
  <c r="R1541"/>
  <c r="V1541" s="1"/>
  <c r="R1526"/>
  <c r="V1526" s="1"/>
  <c r="R1453"/>
  <c r="V1453" s="1"/>
  <c r="U1261"/>
  <c r="T1830"/>
  <c r="R1861"/>
  <c r="V1861" s="1"/>
  <c r="R1845"/>
  <c r="V1845" s="1"/>
  <c r="T1828"/>
  <c r="R1806"/>
  <c r="V1806" s="1"/>
  <c r="U1783"/>
  <c r="R1536"/>
  <c r="V1536" s="1"/>
  <c r="S1508"/>
  <c r="U1491"/>
  <c r="R1479"/>
  <c r="V1479" s="1"/>
  <c r="R1439"/>
  <c r="V1439" s="1"/>
  <c r="S1425"/>
  <c r="T1342"/>
  <c r="S1144"/>
  <c r="S1126"/>
  <c r="R1088"/>
  <c r="V1088" s="1"/>
  <c r="T1789"/>
  <c r="R1807"/>
  <c r="V1807" s="1"/>
  <c r="S1445"/>
  <c r="R1239"/>
  <c r="V1239" s="1"/>
  <c r="S1050"/>
  <c r="S1447"/>
  <c r="U1378"/>
  <c r="R1336"/>
  <c r="V1336" s="1"/>
  <c r="T1319"/>
  <c r="S1293"/>
  <c r="U1265"/>
  <c r="U1207"/>
  <c r="T1113"/>
  <c r="R1047"/>
  <c r="V1047" s="1"/>
  <c r="R1528"/>
  <c r="V1528" s="1"/>
  <c r="T1509"/>
  <c r="S1478"/>
  <c r="R1399"/>
  <c r="V1399" s="1"/>
  <c r="R1275"/>
  <c r="V1275" s="1"/>
  <c r="T1488"/>
  <c r="R1379"/>
  <c r="V1379" s="1"/>
  <c r="U1325"/>
  <c r="S1295"/>
  <c r="U1233"/>
  <c r="U1128"/>
  <c r="T1087"/>
  <c r="T1483"/>
  <c r="S1392"/>
  <c r="T1527"/>
  <c r="T1462"/>
  <c r="T1354"/>
  <c r="S1264"/>
  <c r="U1230"/>
  <c r="U1200"/>
  <c r="R1167"/>
  <c r="V1167" s="1"/>
  <c r="S1093"/>
  <c r="U1302"/>
  <c r="S1260"/>
  <c r="U1228"/>
  <c r="U1176"/>
  <c r="U1135"/>
  <c r="U1081"/>
  <c r="U1055"/>
  <c r="U1368"/>
  <c r="S1324"/>
  <c r="S1274"/>
  <c r="U1222"/>
  <c r="U1180"/>
  <c r="U1139"/>
  <c r="U1103"/>
  <c r="U1049"/>
  <c r="T1308"/>
  <c r="T1270"/>
  <c r="T1234"/>
  <c r="T1186"/>
  <c r="T1133"/>
  <c r="T1061"/>
  <c r="S1308"/>
  <c r="U1272"/>
  <c r="S1234"/>
  <c r="S1186"/>
  <c r="U1143"/>
  <c r="U1085"/>
  <c r="S1053"/>
  <c r="U1372"/>
  <c r="U1328"/>
  <c r="S1284"/>
  <c r="S1248"/>
  <c r="U1216"/>
  <c r="U1161"/>
  <c r="S1119"/>
  <c r="U1051"/>
  <c r="T1324"/>
  <c r="T1284"/>
  <c r="T1248"/>
  <c r="T1202"/>
  <c r="T1145"/>
  <c r="T1097"/>
  <c r="U1068"/>
  <c r="U1237"/>
  <c r="T1424"/>
  <c r="T1277"/>
  <c r="U1148"/>
  <c r="U1223"/>
  <c r="T1082"/>
  <c r="S1438"/>
  <c r="S1209"/>
  <c r="S1424"/>
  <c r="T1237"/>
  <c r="S1223"/>
  <c r="R1102"/>
  <c r="V1102" s="1"/>
  <c r="R1381"/>
  <c r="V1381" s="1"/>
  <c r="T1511"/>
  <c r="T1357"/>
  <c r="T1801"/>
  <c r="T1513"/>
  <c r="R1185"/>
  <c r="V1185" s="1"/>
  <c r="R1810"/>
  <c r="V1810" s="1"/>
  <c r="T1541"/>
  <c r="R1533"/>
  <c r="V1533" s="1"/>
  <c r="T1456"/>
  <c r="R1398"/>
  <c r="V1398" s="1"/>
  <c r="R1837"/>
  <c r="V1837" s="1"/>
  <c r="U1863"/>
  <c r="U1847"/>
  <c r="U1831"/>
  <c r="T1812"/>
  <c r="R1790"/>
  <c r="V1790" s="1"/>
  <c r="S1536"/>
  <c r="R1512"/>
  <c r="V1512" s="1"/>
  <c r="S1495"/>
  <c r="S1479"/>
  <c r="T1440"/>
  <c r="R1426"/>
  <c r="V1426" s="1"/>
  <c r="S1350"/>
  <c r="S1150"/>
  <c r="S1132"/>
  <c r="S1110"/>
  <c r="R1823"/>
  <c r="V1823" s="1"/>
  <c r="S1525"/>
  <c r="U1292"/>
  <c r="S1056"/>
  <c r="T1464"/>
  <c r="R1378"/>
  <c r="V1378" s="1"/>
  <c r="T1341"/>
  <c r="T1323"/>
  <c r="S1273"/>
  <c r="S1249"/>
  <c r="R1174"/>
  <c r="V1174" s="1"/>
  <c r="T1542"/>
  <c r="R1483"/>
  <c r="V1483" s="1"/>
  <c r="S1366"/>
  <c r="S1505"/>
  <c r="U1333"/>
  <c r="S1255"/>
  <c r="T1403"/>
  <c r="T1484"/>
  <c r="U1275"/>
  <c r="R1200"/>
  <c r="V1200" s="1"/>
  <c r="U1096"/>
  <c r="S1270"/>
  <c r="S1141"/>
  <c r="S1061"/>
  <c r="U1192"/>
  <c r="U1109"/>
  <c r="S1280"/>
  <c r="U1196"/>
  <c r="U1063"/>
  <c r="U1340"/>
  <c r="U1298"/>
  <c r="S1178"/>
  <c r="R1068"/>
  <c r="V1068" s="1"/>
  <c r="T1102"/>
  <c r="U1438"/>
  <c r="S1068"/>
  <c r="U1277"/>
  <c r="M146" i="1"/>
  <c r="V145" s="1"/>
  <c r="O148"/>
  <c r="L146"/>
  <c r="O147"/>
  <c r="V144"/>
  <c r="Q1054" i="2" l="1"/>
  <c r="Q1080"/>
  <c r="Q1098"/>
  <c r="Q1134"/>
  <c r="Q1156"/>
  <c r="Q1175"/>
  <c r="Q1191"/>
  <c r="Q1215"/>
  <c r="Q1245"/>
  <c r="Q1271"/>
  <c r="Q1297"/>
  <c r="Q1316"/>
  <c r="Q1089"/>
  <c r="Q1198"/>
  <c r="Q1280"/>
  <c r="Q1339"/>
  <c r="Q1404"/>
  <c r="Q1442"/>
  <c r="Q1478"/>
  <c r="Q1509"/>
  <c r="Q1538"/>
  <c r="Q1053"/>
  <c r="Q1119"/>
  <c r="Q1137"/>
  <c r="Q1214"/>
  <c r="Q1363"/>
  <c r="Q1393"/>
  <c r="Q1422"/>
  <c r="Q1455"/>
  <c r="Q1502"/>
  <c r="Q1521"/>
  <c r="Q1097"/>
  <c r="Q1226"/>
  <c r="Q1390"/>
  <c r="Q1159"/>
  <c r="Q1304"/>
  <c r="Q1403"/>
  <c r="Q1484"/>
  <c r="Q1822"/>
  <c r="Q1476"/>
  <c r="Q1834"/>
  <c r="Q1375"/>
  <c r="Q1486"/>
  <c r="Q1527"/>
  <c r="Q1149"/>
  <c r="Q1218"/>
  <c r="Q1260"/>
  <c r="Q1331"/>
  <c r="Q1399"/>
  <c r="Q1518"/>
  <c r="Q1117"/>
  <c r="Q1833"/>
  <c r="Q1807"/>
  <c r="Q1501"/>
  <c r="Q1405"/>
  <c r="Q1787"/>
  <c r="Q1411"/>
  <c r="Q1785"/>
  <c r="Q1130"/>
  <c r="Q1467"/>
  <c r="Q1836"/>
  <c r="Q1824"/>
  <c r="Q1531"/>
  <c r="Q1151"/>
  <c r="Q1468"/>
  <c r="Q1394"/>
  <c r="Q1376"/>
  <c r="Q1361"/>
  <c r="Q1827"/>
  <c r="Q1338"/>
  <c r="Q1353"/>
  <c r="Q1825"/>
  <c r="Q1231"/>
  <c r="Q1863"/>
  <c r="Q1815"/>
  <c r="Q1182"/>
  <c r="Q1413"/>
  <c r="Q1307"/>
  <c r="Q1250"/>
  <c r="Q1093"/>
  <c r="Q1325"/>
  <c r="Q1128"/>
  <c r="Q1230"/>
  <c r="Q1078"/>
  <c r="Q1794"/>
  <c r="Q1480"/>
  <c r="Q1845"/>
  <c r="Q1781"/>
  <c r="Q1479"/>
  <c r="Q1387"/>
  <c r="Q1814"/>
  <c r="Q1345"/>
  <c r="Q1269"/>
  <c r="Q1482"/>
  <c r="Q1503"/>
  <c r="Q1221"/>
  <c r="Q1152"/>
  <c r="Q1066"/>
  <c r="Q1225"/>
  <c r="Q1070"/>
  <c r="Q1469"/>
  <c r="Q1778"/>
  <c r="Q1819"/>
  <c r="Q1526"/>
  <c r="Q1487"/>
  <c r="Q1165"/>
  <c r="Q1136"/>
  <c r="Q1118"/>
  <c r="Q1065"/>
  <c r="Q1293"/>
  <c r="Q1177"/>
  <c r="Q1306"/>
  <c r="Q1329"/>
  <c r="Q1255"/>
  <c r="Q1104"/>
  <c r="Q1247"/>
  <c r="Q1416"/>
  <c r="Q1865"/>
  <c r="Q1537"/>
  <c r="Q1860"/>
  <c r="Q1780"/>
  <c r="Q1475"/>
  <c r="Q1385"/>
  <c r="Q1060"/>
  <c r="Q1323"/>
  <c r="Q1507"/>
  <c r="Q1291"/>
  <c r="Q1528"/>
  <c r="Q1320"/>
  <c r="Q1356"/>
  <c r="Q1286"/>
  <c r="Q1192"/>
  <c r="Q1121"/>
  <c r="Q1049"/>
  <c r="Q1321"/>
  <c r="Q1212"/>
  <c r="Q1143"/>
  <c r="Q1075"/>
  <c r="Q1340"/>
  <c r="Q1242"/>
  <c r="Q1161"/>
  <c r="Q1099"/>
  <c r="Q1302"/>
  <c r="Q1236"/>
  <c r="Q1169"/>
  <c r="Q1067"/>
  <c r="Q1102"/>
  <c r="Q1209"/>
  <c r="Q1381"/>
  <c r="Q1074"/>
  <c r="Q1094"/>
  <c r="Q1124"/>
  <c r="Q1146"/>
  <c r="Q1173"/>
  <c r="Q1187"/>
  <c r="Q1211"/>
  <c r="Q1241"/>
  <c r="Q1267"/>
  <c r="Q1289"/>
  <c r="Q1312"/>
  <c r="Q1073"/>
  <c r="Q1178"/>
  <c r="Q1274"/>
  <c r="Q1308"/>
  <c r="Q1400"/>
  <c r="Q1436"/>
  <c r="Q1473"/>
  <c r="Q1505"/>
  <c r="Q1535"/>
  <c r="Q1111"/>
  <c r="Q1133"/>
  <c r="Q1202"/>
  <c r="Q1359"/>
  <c r="Q1389"/>
  <c r="Q1418"/>
  <c r="Q1447"/>
  <c r="Q1474"/>
  <c r="Q1517"/>
  <c r="Q1071"/>
  <c r="Q1194"/>
  <c r="Q1248"/>
  <c r="Q1460"/>
  <c r="Q1155"/>
  <c r="Q1300"/>
  <c r="Q1392"/>
  <c r="Q1462"/>
  <c r="Q1428"/>
  <c r="Q1786"/>
  <c r="Q1370"/>
  <c r="Q1454"/>
  <c r="Q1514"/>
  <c r="Q1806"/>
  <c r="Q1866"/>
  <c r="Q1256"/>
  <c r="Q1326"/>
  <c r="Q1388"/>
  <c r="Q1498"/>
  <c r="Q1854"/>
  <c r="Q1826"/>
  <c r="Q1407"/>
  <c r="Q1524"/>
  <c r="Q1408"/>
  <c r="Q1832"/>
  <c r="Q1513"/>
  <c r="Q1849"/>
  <c r="Q1823"/>
  <c r="Q1170"/>
  <c r="Q1839"/>
  <c r="Q1856"/>
  <c r="Q1776"/>
  <c r="Q1801"/>
  <c r="Q1395"/>
  <c r="Q1493"/>
  <c r="Q1406"/>
  <c r="Q1210"/>
  <c r="Q1843"/>
  <c r="Q1779"/>
  <c r="Q1352"/>
  <c r="Q1816"/>
  <c r="Q1472"/>
  <c r="Q1841"/>
  <c r="Q1777"/>
  <c r="Q1409"/>
  <c r="Q1800"/>
  <c r="Q1820"/>
  <c r="Q1831"/>
  <c r="Q1088"/>
  <c r="Q1336"/>
  <c r="Q1265"/>
  <c r="Q1047"/>
  <c r="Q1317"/>
  <c r="Q1333"/>
  <c r="Q1154"/>
  <c r="Q1239"/>
  <c r="Q1096"/>
  <c r="Q1206"/>
  <c r="Q1167"/>
  <c r="Q1533"/>
  <c r="Q1861"/>
  <c r="Q1797"/>
  <c r="Q1504"/>
  <c r="Q1426"/>
  <c r="Q1830"/>
  <c r="Q1351"/>
  <c r="Q1287"/>
  <c r="Q1264"/>
  <c r="Q1251"/>
  <c r="Q1158"/>
  <c r="Q1086"/>
  <c r="Q1243"/>
  <c r="Q1100"/>
  <c r="Q1842"/>
  <c r="Q1848"/>
  <c r="Q1495"/>
  <c r="Q1350"/>
  <c r="Q1140"/>
  <c r="Q1122"/>
  <c r="Q1431"/>
  <c r="Q1208"/>
  <c r="Q1322"/>
  <c r="Q1335"/>
  <c r="Q1263"/>
  <c r="Q1129"/>
  <c r="Q1276"/>
  <c r="Q1427"/>
  <c r="Q1362"/>
  <c r="Q1805"/>
  <c r="Q1796"/>
  <c r="Q1508"/>
  <c r="Q1425"/>
  <c r="Q1341"/>
  <c r="Q1077"/>
  <c r="Q1540"/>
  <c r="Q1299"/>
  <c r="Q1087"/>
  <c r="Q1463"/>
  <c r="Q1101"/>
  <c r="Q1368"/>
  <c r="Q1313"/>
  <c r="Q1222"/>
  <c r="Q1139"/>
  <c r="Q1059"/>
  <c r="Q1238"/>
  <c r="Q1157"/>
  <c r="Q1085"/>
  <c r="Q1348"/>
  <c r="Q1278"/>
  <c r="Q1184"/>
  <c r="Q1105"/>
  <c r="Q1309"/>
  <c r="Q1246"/>
  <c r="Q1176"/>
  <c r="Q1081"/>
  <c r="Q1068"/>
  <c r="Q1082"/>
  <c r="Q1223"/>
  <c r="Q1062"/>
  <c r="Q1090"/>
  <c r="Q1120"/>
  <c r="Q1142"/>
  <c r="Q1168"/>
  <c r="Q1183"/>
  <c r="Q1205"/>
  <c r="Q1235"/>
  <c r="Q1257"/>
  <c r="Q1285"/>
  <c r="Q1305"/>
  <c r="Q1174"/>
  <c r="Q1270"/>
  <c r="Q1288"/>
  <c r="Q1347"/>
  <c r="Q1421"/>
  <c r="Q1470"/>
  <c r="Q1492"/>
  <c r="Q1523"/>
  <c r="Q1061"/>
  <c r="Q1127"/>
  <c r="Q1145"/>
  <c r="Q1355"/>
  <c r="Q1384"/>
  <c r="Q1402"/>
  <c r="Q1444"/>
  <c r="Q1464"/>
  <c r="Q1510"/>
  <c r="Q1539"/>
  <c r="Q1190"/>
  <c r="Q1244"/>
  <c r="Q1448"/>
  <c r="Q1296"/>
  <c r="Q1330"/>
  <c r="Q1449"/>
  <c r="Q1522"/>
  <c r="Q1374"/>
  <c r="Q1324"/>
  <c r="Q1446"/>
  <c r="Q1494"/>
  <c r="Q1500"/>
  <c r="Q1818"/>
  <c r="Q1252"/>
  <c r="Q1315"/>
  <c r="Q1383"/>
  <c r="Q1483"/>
  <c r="Q1838"/>
  <c r="Q1441"/>
  <c r="Q1451"/>
  <c r="Q1835"/>
  <c r="Q1840"/>
  <c r="Q1867"/>
  <c r="Q1079"/>
  <c r="Q1481"/>
  <c r="Q1868"/>
  <c r="Q1792"/>
  <c r="Q1864"/>
  <c r="Q1445"/>
  <c r="Q1788"/>
  <c r="Q1525"/>
  <c r="Q1432"/>
  <c r="Q1262"/>
  <c r="Q1791"/>
  <c r="Q1859"/>
  <c r="Q1795"/>
  <c r="Q1477"/>
  <c r="Q1201"/>
  <c r="Q1775"/>
  <c r="Q1857"/>
  <c r="Q1793"/>
  <c r="Q1420"/>
  <c r="Q1511"/>
  <c r="Q1803"/>
  <c r="Q1261"/>
  <c r="Q1844"/>
  <c r="Q1783"/>
  <c r="Q1172"/>
  <c r="Q1064"/>
  <c r="Q1378"/>
  <c r="Q1283"/>
  <c r="Q1072"/>
  <c r="Q1496"/>
  <c r="Q1369"/>
  <c r="Q1233"/>
  <c r="Q1275"/>
  <c r="Q1189"/>
  <c r="Q1386"/>
  <c r="Q1367"/>
  <c r="Q1541"/>
  <c r="Q1853"/>
  <c r="Q1813"/>
  <c r="Q1512"/>
  <c r="Q1434"/>
  <c r="Q1846"/>
  <c r="Q1782"/>
  <c r="Q1052"/>
  <c r="Q1461"/>
  <c r="Q1318"/>
  <c r="Q1292"/>
  <c r="Q1310"/>
  <c r="Q1166"/>
  <c r="Q1092"/>
  <c r="Q1366"/>
  <c r="Q1115"/>
  <c r="Q1357"/>
  <c r="Q1354"/>
  <c r="Q1453"/>
  <c r="Q1365"/>
  <c r="Q1144"/>
  <c r="Q1126"/>
  <c r="Q1050"/>
  <c r="Q1249"/>
  <c r="Q1373"/>
  <c r="Q1295"/>
  <c r="Q1162"/>
  <c r="Q1401"/>
  <c r="Q1199"/>
  <c r="Q1437"/>
  <c r="Q1382"/>
  <c r="Q1837"/>
  <c r="Q1812"/>
  <c r="Q1532"/>
  <c r="Q1440"/>
  <c r="Q1197"/>
  <c r="Q1349"/>
  <c r="Q1279"/>
  <c r="Q1415"/>
  <c r="Q1107"/>
  <c r="Q1485"/>
  <c r="Q1114"/>
  <c r="Q1380"/>
  <c r="Q1332"/>
  <c r="Q1258"/>
  <c r="Q1153"/>
  <c r="Q1103"/>
  <c r="Q1272"/>
  <c r="Q1171"/>
  <c r="Q1095"/>
  <c r="Q1063"/>
  <c r="Q1360"/>
  <c r="Q1298"/>
  <c r="Q1216"/>
  <c r="Q1131"/>
  <c r="Q1254"/>
  <c r="Q1188"/>
  <c r="Q1091"/>
  <c r="Q1438"/>
  <c r="Q1424"/>
  <c r="Q1217"/>
  <c r="Q1048"/>
  <c r="Q1116"/>
  <c r="Q1058"/>
  <c r="Q1084"/>
  <c r="Q1112"/>
  <c r="Q1138"/>
  <c r="Q1160"/>
  <c r="Q1179"/>
  <c r="Q1195"/>
  <c r="Q1227"/>
  <c r="Q1253"/>
  <c r="Q1281"/>
  <c r="Q1301"/>
  <c r="Q1113"/>
  <c r="Q1266"/>
  <c r="Q1284"/>
  <c r="Q1343"/>
  <c r="Q1417"/>
  <c r="Q1450"/>
  <c r="Q1488"/>
  <c r="Q1519"/>
  <c r="Q1542"/>
  <c r="Q1057"/>
  <c r="Q1123"/>
  <c r="Q1141"/>
  <c r="Q1232"/>
  <c r="Q1379"/>
  <c r="Q1397"/>
  <c r="Q1429"/>
  <c r="Q1459"/>
  <c r="Q1506"/>
  <c r="Q1529"/>
  <c r="Q1186"/>
  <c r="Q1240"/>
  <c r="Q1430"/>
  <c r="Q1163"/>
  <c r="Q1327"/>
  <c r="Q1410"/>
  <c r="Q1497"/>
  <c r="Q1083"/>
  <c r="Q1515"/>
  <c r="Q1850"/>
  <c r="Q1396"/>
  <c r="Q1490"/>
  <c r="Q1371"/>
  <c r="Q1802"/>
  <c r="Q1234"/>
  <c r="Q1311"/>
  <c r="Q1334"/>
  <c r="Q1458"/>
  <c r="Q1790"/>
  <c r="Q1204"/>
  <c r="Q1804"/>
  <c r="Q1489"/>
  <c r="Q1358"/>
  <c r="Q1784"/>
  <c r="Q1219"/>
  <c r="Q1213"/>
  <c r="Q1530"/>
  <c r="Q1108"/>
  <c r="Q1414"/>
  <c r="Q1821"/>
  <c r="Q1808"/>
  <c r="Q1810"/>
  <c r="Q1852"/>
  <c r="Q1452"/>
  <c r="Q1346"/>
  <c r="Q1851"/>
  <c r="Q1855"/>
  <c r="Q1811"/>
  <c r="Q1817"/>
  <c r="Q1534"/>
  <c r="Q1220"/>
  <c r="Q1789"/>
  <c r="Q1809"/>
  <c r="Q1164"/>
  <c r="Q1364"/>
  <c r="Q1435"/>
  <c r="Q1847"/>
  <c r="Q1799"/>
  <c r="Q1491"/>
  <c r="Q1391"/>
  <c r="Q1294"/>
  <c r="Q1207"/>
  <c r="Q1377"/>
  <c r="Q1303"/>
  <c r="Q1516"/>
  <c r="Q1200"/>
  <c r="Q1398"/>
  <c r="Q1829"/>
  <c r="Q1536"/>
  <c r="Q1439"/>
  <c r="Q1862"/>
  <c r="Q1798"/>
  <c r="Q1337"/>
  <c r="Q1076"/>
  <c r="Q1412"/>
  <c r="Q1419"/>
  <c r="Q1203"/>
  <c r="Q1106"/>
  <c r="Q1443"/>
  <c r="Q1193"/>
  <c r="Q1465"/>
  <c r="Q1471"/>
  <c r="Q1457"/>
  <c r="Q1150"/>
  <c r="Q1132"/>
  <c r="Q1110"/>
  <c r="Q1056"/>
  <c r="Q1273"/>
  <c r="Q1433"/>
  <c r="Q1314"/>
  <c r="Q1181"/>
  <c r="Q1520"/>
  <c r="Q1229"/>
  <c r="Q1858"/>
  <c r="Q1456"/>
  <c r="Q1828"/>
  <c r="Q1466"/>
  <c r="Q1342"/>
  <c r="Q1319"/>
  <c r="Q1423"/>
  <c r="Q1259"/>
  <c r="Q1499"/>
  <c r="Q1185"/>
  <c r="Q1344"/>
  <c r="Q1268"/>
  <c r="Q1180"/>
  <c r="Q1109"/>
  <c r="Q1290"/>
  <c r="Q1196"/>
  <c r="Q1125"/>
  <c r="Q1069"/>
  <c r="Q1372"/>
  <c r="Q1328"/>
  <c r="Q1224"/>
  <c r="Q1147"/>
  <c r="Q1051"/>
  <c r="Q1282"/>
  <c r="Q1228"/>
  <c r="Q1135"/>
  <c r="Q1055"/>
  <c r="Q1277"/>
  <c r="Q1237"/>
  <c r="Q1148"/>
  <c r="J146" i="1"/>
  <c r="W146"/>
  <c r="V146"/>
  <c r="M148"/>
  <c r="L148"/>
  <c r="O149"/>
  <c r="M149" l="1"/>
  <c r="L149"/>
  <c r="O150"/>
  <c r="G148"/>
  <c r="D148"/>
  <c r="J148"/>
  <c r="V148"/>
  <c r="V147"/>
  <c r="W147"/>
  <c r="M1059" i="2" l="1"/>
  <c r="M1075"/>
  <c r="M1095"/>
  <c r="M1109"/>
  <c r="M1135"/>
  <c r="M1153"/>
  <c r="M1171"/>
  <c r="M1188"/>
  <c r="M1216"/>
  <c r="M1236"/>
  <c r="M1254"/>
  <c r="M1278"/>
  <c r="M1298"/>
  <c r="M1321"/>
  <c r="M1344"/>
  <c r="M1368"/>
  <c r="M1054"/>
  <c r="M1080"/>
  <c r="M1098"/>
  <c r="M1134"/>
  <c r="M1156"/>
  <c r="M1175"/>
  <c r="M1191"/>
  <c r="M1215"/>
  <c r="M1245"/>
  <c r="M1271"/>
  <c r="M1297"/>
  <c r="M1316"/>
  <c r="M1343"/>
  <c r="M1363"/>
  <c r="M1400"/>
  <c r="M1422"/>
  <c r="M1450"/>
  <c r="M1490"/>
  <c r="M1510"/>
  <c r="M1549"/>
  <c r="L1058"/>
  <c r="M1073"/>
  <c r="L1090"/>
  <c r="M1111"/>
  <c r="M1123"/>
  <c r="L1134"/>
  <c r="L1142"/>
  <c r="L1156"/>
  <c r="L1168"/>
  <c r="L1179"/>
  <c r="M1190"/>
  <c r="M1202"/>
  <c r="M1214"/>
  <c r="M1232"/>
  <c r="L1241"/>
  <c r="M1252"/>
  <c r="M1260"/>
  <c r="L1271"/>
  <c r="M1284"/>
  <c r="M1296"/>
  <c r="M1304"/>
  <c r="L1312"/>
  <c r="L1163"/>
  <c r="L1252"/>
  <c r="L1260"/>
  <c r="L1300"/>
  <c r="L1311"/>
  <c r="M1326"/>
  <c r="M1341"/>
  <c r="M1370"/>
  <c r="L1389"/>
  <c r="L1418"/>
  <c r="L1447"/>
  <c r="L1474"/>
  <c r="L1517"/>
  <c r="L1547"/>
  <c r="L1073"/>
  <c r="L1174"/>
  <c r="M1207"/>
  <c r="M1269"/>
  <c r="M1279"/>
  <c r="M1287"/>
  <c r="L1308"/>
  <c r="L1326"/>
  <c r="L1334"/>
  <c r="L1375"/>
  <c r="L1460"/>
  <c r="L1061"/>
  <c r="L1127"/>
  <c r="L1145"/>
  <c r="L1339"/>
  <c r="L1476"/>
  <c r="M1555"/>
  <c r="M1070"/>
  <c r="M1189"/>
  <c r="M1275"/>
  <c r="M1369"/>
  <c r="M1429"/>
  <c r="L1492"/>
  <c r="M1529"/>
  <c r="L1818"/>
  <c r="L1850"/>
  <c r="M1239"/>
  <c r="M1384"/>
  <c r="M1547"/>
  <c r="M1815"/>
  <c r="M1100"/>
  <c r="L1248"/>
  <c r="L1355"/>
  <c r="L1417"/>
  <c r="L1450"/>
  <c r="L1555"/>
  <c r="L1400"/>
  <c r="M1459"/>
  <c r="L1790"/>
  <c r="L1182"/>
  <c r="L1206"/>
  <c r="L1358"/>
  <c r="M1397"/>
  <c r="M1457"/>
  <c r="L1543"/>
  <c r="M1247"/>
  <c r="M1427"/>
  <c r="L1538"/>
  <c r="L1830"/>
  <c r="M1432"/>
  <c r="L1201"/>
  <c r="M1462"/>
  <c r="L1816"/>
  <c r="L1414"/>
  <c r="L1809"/>
  <c r="L1531"/>
  <c r="M1864"/>
  <c r="M1079"/>
  <c r="L1493"/>
  <c r="L1452"/>
  <c r="M1346"/>
  <c r="M1130"/>
  <c r="M1497"/>
  <c r="L1835"/>
  <c r="M1353"/>
  <c r="M1821"/>
  <c r="L1840"/>
  <c r="M1801"/>
  <c r="L1213"/>
  <c r="L1481"/>
  <c r="M1210"/>
  <c r="M1449"/>
  <c r="M1411"/>
  <c r="L1839"/>
  <c r="M1834"/>
  <c r="M1802"/>
  <c r="M1833"/>
  <c r="M1376"/>
  <c r="L1852"/>
  <c r="L1489"/>
  <c r="L1408"/>
  <c r="M1352"/>
  <c r="M1522"/>
  <c r="M1392"/>
  <c r="L1361"/>
  <c r="M1841"/>
  <c r="M1809"/>
  <c r="M1437"/>
  <c r="L1500"/>
  <c r="M1394"/>
  <c r="L1848"/>
  <c r="M1537"/>
  <c r="L1837"/>
  <c r="L1860"/>
  <c r="M1822"/>
  <c r="M1790"/>
  <c r="L1536"/>
  <c r="L1504"/>
  <c r="M1475"/>
  <c r="L1387"/>
  <c r="M1172"/>
  <c r="M1136"/>
  <c r="M1118"/>
  <c r="M1803"/>
  <c r="M1423"/>
  <c r="M1378"/>
  <c r="L1323"/>
  <c r="M1250"/>
  <c r="L1051"/>
  <c r="L1527"/>
  <c r="L1396"/>
  <c r="M1354"/>
  <c r="M1060"/>
  <c r="L1507"/>
  <c r="L1299"/>
  <c r="L1087"/>
  <c r="L1254"/>
  <c r="L1499"/>
  <c r="M1230"/>
  <c r="L1114"/>
  <c r="L1164"/>
  <c r="L1842"/>
  <c r="M1505"/>
  <c r="M1395"/>
  <c r="L1803"/>
  <c r="L1261"/>
  <c r="M1814"/>
  <c r="L1831"/>
  <c r="M1797"/>
  <c r="L1491"/>
  <c r="M1507"/>
  <c r="M1530"/>
  <c r="L1064"/>
  <c r="L1391"/>
  <c r="L1294"/>
  <c r="L1207"/>
  <c r="L1497"/>
  <c r="L1441"/>
  <c r="M1064"/>
  <c r="L1369"/>
  <c r="L1233"/>
  <c r="L1154"/>
  <c r="M1092"/>
  <c r="L1298"/>
  <c r="L1550"/>
  <c r="M1322"/>
  <c r="L1230"/>
  <c r="M1115"/>
  <c r="L1386"/>
  <c r="M1527"/>
  <c r="M1509"/>
  <c r="L1171"/>
  <c r="L1537"/>
  <c r="M1435"/>
  <c r="L1861"/>
  <c r="L1797"/>
  <c r="M1512"/>
  <c r="M1479"/>
  <c r="M1434"/>
  <c r="M1165"/>
  <c r="M1436"/>
  <c r="L1052"/>
  <c r="L1337"/>
  <c r="M1208"/>
  <c r="L1055"/>
  <c r="L1483"/>
  <c r="L1383"/>
  <c r="L1278"/>
  <c r="L1419"/>
  <c r="L1221"/>
  <c r="L1158"/>
  <c r="L1106"/>
  <c r="L1066"/>
  <c r="L1236"/>
  <c r="M1306"/>
  <c r="L1225"/>
  <c r="M1093"/>
  <c r="M1543"/>
  <c r="M1554"/>
  <c r="L1147"/>
  <c r="L1819"/>
  <c r="M1471"/>
  <c r="M1860"/>
  <c r="M1828"/>
  <c r="M1544"/>
  <c r="M1387"/>
  <c r="L1172"/>
  <c r="L1140"/>
  <c r="L1122"/>
  <c r="M1538"/>
  <c r="M1458"/>
  <c r="L1056"/>
  <c r="L1431"/>
  <c r="L1249"/>
  <c r="M1077"/>
  <c r="L1458"/>
  <c r="L1180"/>
  <c r="M1500"/>
  <c r="L1329"/>
  <c r="L1263"/>
  <c r="L1129"/>
  <c r="M1083"/>
  <c r="L1348"/>
  <c r="L1085"/>
  <c r="L1520"/>
  <c r="M1320"/>
  <c r="L1229"/>
  <c r="L1188"/>
  <c r="M1233"/>
  <c r="L1099"/>
  <c r="L1224"/>
  <c r="L1149"/>
  <c r="L1238"/>
  <c r="L1069"/>
  <c r="M1277"/>
  <c r="M1237"/>
  <c r="M1424"/>
  <c r="L1381"/>
  <c r="L1068"/>
  <c r="L1148"/>
  <c r="L1048"/>
  <c r="M1055"/>
  <c r="M1069"/>
  <c r="M1091"/>
  <c r="M1105"/>
  <c r="M1131"/>
  <c r="M1147"/>
  <c r="M1169"/>
  <c r="M1184"/>
  <c r="M1212"/>
  <c r="M1228"/>
  <c r="M1246"/>
  <c r="M1272"/>
  <c r="M1290"/>
  <c r="M1313"/>
  <c r="M1340"/>
  <c r="M1360"/>
  <c r="M1074"/>
  <c r="M1094"/>
  <c r="M1124"/>
  <c r="M1146"/>
  <c r="M1173"/>
  <c r="M1187"/>
  <c r="M1211"/>
  <c r="M1241"/>
  <c r="M1267"/>
  <c r="M1289"/>
  <c r="M1312"/>
  <c r="M1339"/>
  <c r="M1359"/>
  <c r="M1390"/>
  <c r="M1418"/>
  <c r="M1448"/>
  <c r="M1476"/>
  <c r="M1506"/>
  <c r="M1539"/>
  <c r="M1057"/>
  <c r="M1071"/>
  <c r="L1084"/>
  <c r="L1098"/>
  <c r="L1120"/>
  <c r="M1133"/>
  <c r="M1141"/>
  <c r="M1155"/>
  <c r="M1163"/>
  <c r="M1178"/>
  <c r="L1187"/>
  <c r="L1195"/>
  <c r="L1211"/>
  <c r="L1227"/>
  <c r="M1240"/>
  <c r="M1248"/>
  <c r="L1257"/>
  <c r="M1270"/>
  <c r="L1281"/>
  <c r="L1289"/>
  <c r="L1301"/>
  <c r="M1311"/>
  <c r="L1159"/>
  <c r="M1251"/>
  <c r="M1259"/>
  <c r="M1299"/>
  <c r="M1310"/>
  <c r="M1324"/>
  <c r="M1337"/>
  <c r="M1351"/>
  <c r="L1384"/>
  <c r="L1402"/>
  <c r="L1444"/>
  <c r="L1464"/>
  <c r="L1510"/>
  <c r="L1539"/>
  <c r="M1072"/>
  <c r="L1113"/>
  <c r="L1198"/>
  <c r="L1266"/>
  <c r="L1274"/>
  <c r="L1284"/>
  <c r="M1307"/>
  <c r="L1324"/>
  <c r="L1331"/>
  <c r="L1374"/>
  <c r="L1448"/>
  <c r="L1057"/>
  <c r="L1123"/>
  <c r="L1141"/>
  <c r="L1232"/>
  <c r="L1410"/>
  <c r="M1551"/>
  <c r="M1185"/>
  <c r="M1229"/>
  <c r="L1364"/>
  <c r="M1402"/>
  <c r="L1488"/>
  <c r="M1521"/>
  <c r="M1811"/>
  <c r="M1843"/>
  <c r="L1093"/>
  <c r="L1359"/>
  <c r="M1464"/>
  <c r="L1806"/>
  <c r="M1096"/>
  <c r="L1244"/>
  <c r="M1333"/>
  <c r="L1404"/>
  <c r="M1444"/>
  <c r="L1551"/>
  <c r="M1385"/>
  <c r="M1439"/>
  <c r="M1847"/>
  <c r="L1194"/>
  <c r="M1335"/>
  <c r="L1379"/>
  <c r="M1455"/>
  <c r="L1535"/>
  <c r="M1114"/>
  <c r="M1389"/>
  <c r="L1519"/>
  <c r="M1804"/>
  <c r="L1477"/>
  <c r="L1220"/>
  <c r="M1484"/>
  <c r="M1832"/>
  <c r="L1467"/>
  <c r="L1789"/>
  <c r="L1825"/>
  <c r="L1814"/>
  <c r="L1833"/>
  <c r="L1376"/>
  <c r="M1798"/>
  <c r="L1525"/>
  <c r="L1468"/>
  <c r="L1394"/>
  <c r="M1170"/>
  <c r="L1826"/>
  <c r="L1553"/>
  <c r="M1403"/>
  <c r="L1411"/>
  <c r="M1836"/>
  <c r="M1840"/>
  <c r="M1792"/>
  <c r="L1849"/>
  <c r="M1788"/>
  <c r="L1530"/>
  <c r="M1262"/>
  <c r="L1108"/>
  <c r="M1499"/>
  <c r="M1467"/>
  <c r="M1862"/>
  <c r="M1850"/>
  <c r="L1808"/>
  <c r="M1511"/>
  <c r="L1395"/>
  <c r="M1852"/>
  <c r="M1493"/>
  <c r="L1451"/>
  <c r="L1367"/>
  <c r="M1220"/>
  <c r="L1810"/>
  <c r="L1557"/>
  <c r="M1421"/>
  <c r="M1414"/>
  <c r="M1789"/>
  <c r="L1843"/>
  <c r="L1811"/>
  <c r="L1437"/>
  <c r="L1427"/>
  <c r="M1791"/>
  <c r="M1515"/>
  <c r="M1406"/>
  <c r="L1865"/>
  <c r="L1541"/>
  <c r="L1398"/>
  <c r="M1861"/>
  <c r="L1828"/>
  <c r="L1796"/>
  <c r="L1552"/>
  <c r="M1508"/>
  <c r="L1479"/>
  <c r="L1426"/>
  <c r="L1197"/>
  <c r="M1140"/>
  <c r="M1122"/>
  <c r="M1503"/>
  <c r="M1463"/>
  <c r="M1336"/>
  <c r="L1279"/>
  <c r="M1047"/>
  <c r="L1059"/>
  <c r="L1548"/>
  <c r="L1428"/>
  <c r="M1364"/>
  <c r="L1075"/>
  <c r="L1540"/>
  <c r="M1379"/>
  <c r="L1107"/>
  <c r="L1528"/>
  <c r="L1320"/>
  <c r="M1167"/>
  <c r="M1357"/>
  <c r="M1516"/>
  <c r="M1520"/>
  <c r="M1407"/>
  <c r="M1848"/>
  <c r="L1435"/>
  <c r="L1820"/>
  <c r="M1845"/>
  <c r="L1799"/>
  <c r="L1088"/>
  <c r="M1546"/>
  <c r="M1383"/>
  <c r="L1413"/>
  <c r="L1307"/>
  <c r="L1250"/>
  <c r="L1446"/>
  <c r="L1176"/>
  <c r="L1377"/>
  <c r="L1303"/>
  <c r="M1166"/>
  <c r="L1128"/>
  <c r="L1309"/>
  <c r="M1366"/>
  <c r="L1239"/>
  <c r="M1182"/>
  <c r="L1409"/>
  <c r="M1524"/>
  <c r="M1401"/>
  <c r="M1826"/>
  <c r="M1541"/>
  <c r="L1456"/>
  <c r="M1837"/>
  <c r="L1813"/>
  <c r="L1532"/>
  <c r="M1491"/>
  <c r="L1440"/>
  <c r="M1342"/>
  <c r="M1483"/>
  <c r="M1065"/>
  <c r="L1345"/>
  <c r="L1269"/>
  <c r="L1076"/>
  <c r="L1063"/>
  <c r="L1515"/>
  <c r="L1392"/>
  <c r="L1286"/>
  <c r="M1486"/>
  <c r="L1251"/>
  <c r="L1166"/>
  <c r="M1117"/>
  <c r="L1086"/>
  <c r="L1258"/>
  <c r="L1366"/>
  <c r="L1243"/>
  <c r="L1100"/>
  <c r="M1409"/>
  <c r="M1405"/>
  <c r="M1865"/>
  <c r="L1471"/>
  <c r="M1805"/>
  <c r="M1829"/>
  <c r="L1544"/>
  <c r="L1457"/>
  <c r="M1197"/>
  <c r="L1144"/>
  <c r="L1126"/>
  <c r="L1486"/>
  <c r="M1473"/>
  <c r="L1065"/>
  <c r="L1273"/>
  <c r="M1113"/>
  <c r="L1498"/>
  <c r="L1268"/>
  <c r="L1335"/>
  <c r="M1291"/>
  <c r="L1162"/>
  <c r="M1087"/>
  <c r="L1157"/>
  <c r="L1546"/>
  <c r="L1401"/>
  <c r="L1247"/>
  <c r="M1101"/>
  <c r="L1196"/>
  <c r="L1117"/>
  <c r="L1242"/>
  <c r="M1128"/>
  <c r="L1321"/>
  <c r="M1162"/>
  <c r="L1246"/>
  <c r="L1095"/>
  <c r="M1102"/>
  <c r="M1438"/>
  <c r="M1209"/>
  <c r="L1277"/>
  <c r="L1082"/>
  <c r="M1545"/>
  <c r="M1051"/>
  <c r="M1067"/>
  <c r="M1085"/>
  <c r="M1103"/>
  <c r="M1125"/>
  <c r="M1143"/>
  <c r="M1161"/>
  <c r="M1180"/>
  <c r="M1196"/>
  <c r="M1224"/>
  <c r="M1242"/>
  <c r="M1268"/>
  <c r="M1286"/>
  <c r="M1309"/>
  <c r="M1332"/>
  <c r="M1356"/>
  <c r="M1380"/>
  <c r="M1062"/>
  <c r="M1090"/>
  <c r="M1120"/>
  <c r="M1142"/>
  <c r="M1168"/>
  <c r="M1183"/>
  <c r="M1205"/>
  <c r="M1235"/>
  <c r="M1257"/>
  <c r="M1285"/>
  <c r="M1305"/>
  <c r="M1331"/>
  <c r="M1355"/>
  <c r="M1375"/>
  <c r="M1410"/>
  <c r="M1442"/>
  <c r="M1474"/>
  <c r="M1502"/>
  <c r="M1523"/>
  <c r="L1054"/>
  <c r="L1062"/>
  <c r="L1080"/>
  <c r="M1097"/>
  <c r="M1119"/>
  <c r="M1127"/>
  <c r="L1138"/>
  <c r="L1146"/>
  <c r="L1160"/>
  <c r="L1175"/>
  <c r="M1186"/>
  <c r="M1194"/>
  <c r="L1205"/>
  <c r="M1226"/>
  <c r="L1235"/>
  <c r="L1245"/>
  <c r="M1256"/>
  <c r="L1267"/>
  <c r="M1280"/>
  <c r="M1288"/>
  <c r="M1300"/>
  <c r="M1308"/>
  <c r="L1316"/>
  <c r="L1155"/>
  <c r="L1234"/>
  <c r="L1256"/>
  <c r="L1296"/>
  <c r="L1304"/>
  <c r="L1315"/>
  <c r="M1334"/>
  <c r="M1349"/>
  <c r="L1382"/>
  <c r="L1397"/>
  <c r="L1429"/>
  <c r="L1459"/>
  <c r="L1506"/>
  <c r="L1529"/>
  <c r="M1557"/>
  <c r="L1089"/>
  <c r="L1178"/>
  <c r="M1265"/>
  <c r="M1273"/>
  <c r="M1283"/>
  <c r="M1293"/>
  <c r="M1323"/>
  <c r="L1330"/>
  <c r="L1371"/>
  <c r="L1430"/>
  <c r="L1053"/>
  <c r="L1119"/>
  <c r="L1137"/>
  <c r="L1214"/>
  <c r="L1347"/>
  <c r="L1494"/>
  <c r="L1167"/>
  <c r="M1225"/>
  <c r="L1362"/>
  <c r="M1391"/>
  <c r="M1461"/>
  <c r="L1509"/>
  <c r="L1802"/>
  <c r="L1834"/>
  <c r="L1866"/>
  <c r="L1322"/>
  <c r="M1440"/>
  <c r="M1863"/>
  <c r="L1240"/>
  <c r="M1325"/>
  <c r="M1393"/>
  <c r="M1431"/>
  <c r="L1523"/>
  <c r="M1329"/>
  <c r="L1436"/>
  <c r="L1838"/>
  <c r="L1190"/>
  <c r="L1264"/>
  <c r="M1377"/>
  <c r="M1447"/>
  <c r="M1517"/>
  <c r="L1097"/>
  <c r="M1386"/>
  <c r="L1473"/>
  <c r="L1854"/>
  <c r="L1817"/>
  <c r="L1079"/>
  <c r="M1501"/>
  <c r="L1338"/>
  <c r="M1819"/>
  <c r="M1550"/>
  <c r="M1842"/>
  <c r="M1472"/>
  <c r="L1353"/>
  <c r="L1841"/>
  <c r="M1835"/>
  <c r="M1849"/>
  <c r="L1407"/>
  <c r="L1804"/>
  <c r="M1534"/>
  <c r="M1477"/>
  <c r="L1406"/>
  <c r="M1201"/>
  <c r="M1535"/>
  <c r="M1443"/>
  <c r="L1513"/>
  <c r="M1868"/>
  <c r="M1856"/>
  <c r="M1808"/>
  <c r="L1867"/>
  <c r="L1823"/>
  <c r="L1558"/>
  <c r="M1338"/>
  <c r="L1130"/>
  <c r="M1540"/>
  <c r="M1858"/>
  <c r="L1472"/>
  <c r="L1868"/>
  <c r="L1821"/>
  <c r="L1856"/>
  <c r="M1818"/>
  <c r="L1846"/>
  <c r="L1801"/>
  <c r="L1445"/>
  <c r="L1151"/>
  <c r="L1524"/>
  <c r="M1468"/>
  <c r="M1367"/>
  <c r="L1262"/>
  <c r="M1867"/>
  <c r="M1456"/>
  <c r="M1816"/>
  <c r="L1791"/>
  <c r="L1859"/>
  <c r="M1825"/>
  <c r="M1793"/>
  <c r="L1469"/>
  <c r="M1469"/>
  <c r="M1823"/>
  <c r="M1528"/>
  <c r="M1445"/>
  <c r="L1109"/>
  <c r="M1800"/>
  <c r="L1480"/>
  <c r="L1805"/>
  <c r="M1838"/>
  <c r="M1806"/>
  <c r="L1512"/>
  <c r="M1487"/>
  <c r="L1434"/>
  <c r="L1342"/>
  <c r="M1144"/>
  <c r="M1126"/>
  <c r="M1088"/>
  <c r="L1501"/>
  <c r="L1060"/>
  <c r="L1341"/>
  <c r="M1294"/>
  <c r="L1077"/>
  <c r="L1484"/>
  <c r="L1380"/>
  <c r="L1282"/>
  <c r="L1415"/>
  <c r="L1259"/>
  <c r="L1105"/>
  <c r="L1463"/>
  <c r="L1185"/>
  <c r="M1078"/>
  <c r="L1416"/>
  <c r="M1807"/>
  <c r="M1428"/>
  <c r="L1121"/>
  <c r="M1846"/>
  <c r="L1847"/>
  <c r="M1813"/>
  <c r="M1350"/>
  <c r="M1399"/>
  <c r="L1336"/>
  <c r="L1265"/>
  <c r="L1047"/>
  <c r="L1454"/>
  <c r="L1272"/>
  <c r="L1325"/>
  <c r="M1218"/>
  <c r="M1149"/>
  <c r="L1340"/>
  <c r="L1153"/>
  <c r="M1412"/>
  <c r="L1275"/>
  <c r="L1189"/>
  <c r="L1078"/>
  <c r="M1420"/>
  <c r="M1231"/>
  <c r="L1794"/>
  <c r="L1798"/>
  <c r="M1548"/>
  <c r="M1452"/>
  <c r="L1125"/>
  <c r="M1480"/>
  <c r="L1853"/>
  <c r="L1829"/>
  <c r="M1536"/>
  <c r="M1504"/>
  <c r="L1466"/>
  <c r="L1385"/>
  <c r="L1858"/>
  <c r="L1496"/>
  <c r="M1388"/>
  <c r="L1351"/>
  <c r="L1287"/>
  <c r="M1089"/>
  <c r="L1518"/>
  <c r="L1399"/>
  <c r="L1356"/>
  <c r="M1052"/>
  <c r="L1503"/>
  <c r="M1263"/>
  <c r="M1181"/>
  <c r="M1129"/>
  <c r="L1092"/>
  <c r="L1344"/>
  <c r="L1443"/>
  <c r="M1264"/>
  <c r="L1115"/>
  <c r="M1416"/>
  <c r="M1441"/>
  <c r="L1081"/>
  <c r="L1526"/>
  <c r="M1830"/>
  <c r="L1844"/>
  <c r="M1796"/>
  <c r="L1487"/>
  <c r="L1350"/>
  <c r="L1150"/>
  <c r="L1132"/>
  <c r="L1110"/>
  <c r="M1485"/>
  <c r="L1212"/>
  <c r="L1293"/>
  <c r="L1177"/>
  <c r="M1358"/>
  <c r="M1056"/>
  <c r="L1373"/>
  <c r="L1295"/>
  <c r="L1181"/>
  <c r="L1104"/>
  <c r="L1302"/>
  <c r="M1482"/>
  <c r="L1276"/>
  <c r="L1199"/>
  <c r="L1228"/>
  <c r="M1154"/>
  <c r="L1368"/>
  <c r="M1158"/>
  <c r="L1372"/>
  <c r="L1184"/>
  <c r="L1328"/>
  <c r="M1106"/>
  <c r="L1545"/>
  <c r="M1068"/>
  <c r="L1102"/>
  <c r="M1217"/>
  <c r="L1237"/>
  <c r="M1223"/>
  <c r="M1116"/>
  <c r="L1438"/>
  <c r="L1424"/>
  <c r="M1049"/>
  <c r="M1063"/>
  <c r="M1081"/>
  <c r="M1099"/>
  <c r="M1121"/>
  <c r="M1139"/>
  <c r="M1157"/>
  <c r="M1176"/>
  <c r="M1192"/>
  <c r="M1222"/>
  <c r="M1238"/>
  <c r="M1258"/>
  <c r="M1282"/>
  <c r="M1302"/>
  <c r="M1328"/>
  <c r="M1348"/>
  <c r="M1372"/>
  <c r="M1058"/>
  <c r="M1084"/>
  <c r="M1112"/>
  <c r="M1138"/>
  <c r="M1160"/>
  <c r="M1179"/>
  <c r="M1195"/>
  <c r="M1227"/>
  <c r="M1253"/>
  <c r="M1281"/>
  <c r="M1301"/>
  <c r="M1327"/>
  <c r="M1347"/>
  <c r="M1371"/>
  <c r="M1404"/>
  <c r="M1430"/>
  <c r="M1460"/>
  <c r="M1494"/>
  <c r="M1519"/>
  <c r="M1053"/>
  <c r="M1061"/>
  <c r="L1074"/>
  <c r="L1094"/>
  <c r="L1112"/>
  <c r="L1124"/>
  <c r="M1137"/>
  <c r="M1145"/>
  <c r="M1159"/>
  <c r="L1173"/>
  <c r="L1183"/>
  <c r="L1191"/>
  <c r="M1204"/>
  <c r="L1215"/>
  <c r="M1234"/>
  <c r="M1244"/>
  <c r="L1253"/>
  <c r="M1266"/>
  <c r="M1274"/>
  <c r="L1285"/>
  <c r="L1297"/>
  <c r="L1305"/>
  <c r="M1315"/>
  <c r="M1086"/>
  <c r="L1204"/>
  <c r="M1255"/>
  <c r="M1295"/>
  <c r="M1303"/>
  <c r="M1314"/>
  <c r="M1330"/>
  <c r="M1345"/>
  <c r="M1374"/>
  <c r="L1393"/>
  <c r="L1422"/>
  <c r="L1455"/>
  <c r="L1502"/>
  <c r="L1521"/>
  <c r="M1553"/>
  <c r="M1076"/>
  <c r="M1177"/>
  <c r="M1249"/>
  <c r="L1270"/>
  <c r="L1280"/>
  <c r="L1288"/>
  <c r="M1318"/>
  <c r="L1327"/>
  <c r="L1370"/>
  <c r="L1390"/>
  <c r="M1556"/>
  <c r="L1111"/>
  <c r="L1133"/>
  <c r="L1202"/>
  <c r="L1343"/>
  <c r="L1490"/>
  <c r="M1559"/>
  <c r="L1071"/>
  <c r="M1193"/>
  <c r="L1354"/>
  <c r="M1382"/>
  <c r="L1442"/>
  <c r="L1505"/>
  <c r="L1549"/>
  <c r="M1795"/>
  <c r="M1827"/>
  <c r="M1859"/>
  <c r="L1292"/>
  <c r="M1425"/>
  <c r="M1552"/>
  <c r="M1831"/>
  <c r="M1199"/>
  <c r="L1317"/>
  <c r="L1363"/>
  <c r="L1421"/>
  <c r="L1470"/>
  <c r="L1559"/>
  <c r="M1243"/>
  <c r="M1426"/>
  <c r="M1799"/>
  <c r="L1186"/>
  <c r="L1226"/>
  <c r="M1373"/>
  <c r="M1413"/>
  <c r="L1478"/>
  <c r="L1306"/>
  <c r="M1465"/>
  <c r="L1542"/>
  <c r="L1822"/>
  <c r="M1453"/>
  <c r="L1534"/>
  <c r="L1352"/>
  <c r="M1514"/>
  <c r="M1398"/>
  <c r="M1794"/>
  <c r="M1361"/>
  <c r="L1857"/>
  <c r="L1793"/>
  <c r="M1526"/>
  <c r="L1864"/>
  <c r="L1807"/>
  <c r="L1554"/>
  <c r="M1489"/>
  <c r="L1432"/>
  <c r="L1210"/>
  <c r="M1108"/>
  <c r="M1470"/>
  <c r="L1832"/>
  <c r="L1219"/>
  <c r="M1857"/>
  <c r="M1824"/>
  <c r="M1151"/>
  <c r="M1408"/>
  <c r="L1170"/>
  <c r="L1412"/>
  <c r="L1556"/>
  <c r="M1417"/>
  <c r="M1513"/>
  <c r="M1219"/>
  <c r="L1836"/>
  <c r="M1866"/>
  <c r="L1824"/>
  <c r="L1792"/>
  <c r="M1817"/>
  <c r="M1213"/>
  <c r="L1788"/>
  <c r="M1481"/>
  <c r="L1405"/>
  <c r="L1346"/>
  <c r="M1478"/>
  <c r="L1482"/>
  <c r="L1851"/>
  <c r="L1855"/>
  <c r="L1827"/>
  <c r="L1795"/>
  <c r="M1531"/>
  <c r="L1357"/>
  <c r="M1454"/>
  <c r="L1862"/>
  <c r="M1558"/>
  <c r="M1488"/>
  <c r="L1135"/>
  <c r="M1810"/>
  <c r="L1533"/>
  <c r="M1820"/>
  <c r="M1854"/>
  <c r="L1812"/>
  <c r="M1532"/>
  <c r="M1495"/>
  <c r="L1439"/>
  <c r="M1365"/>
  <c r="M1150"/>
  <c r="M1132"/>
  <c r="M1110"/>
  <c r="M1542"/>
  <c r="L1216"/>
  <c r="L1349"/>
  <c r="L1319"/>
  <c r="M1174"/>
  <c r="L1514"/>
  <c r="L1388"/>
  <c r="L1290"/>
  <c r="L1423"/>
  <c r="L1291"/>
  <c r="L1222"/>
  <c r="L1485"/>
  <c r="M1200"/>
  <c r="L1101"/>
  <c r="L1420"/>
  <c r="M1164"/>
  <c r="M1839"/>
  <c r="M1451"/>
  <c r="L1139"/>
  <c r="L1800"/>
  <c r="M1853"/>
  <c r="L1863"/>
  <c r="L1815"/>
  <c r="M1466"/>
  <c r="M1851"/>
  <c r="M1518"/>
  <c r="L1378"/>
  <c r="L1283"/>
  <c r="L1072"/>
  <c r="L1462"/>
  <c r="L1360"/>
  <c r="L1333"/>
  <c r="M1221"/>
  <c r="M1152"/>
  <c r="M1066"/>
  <c r="L1161"/>
  <c r="L1516"/>
  <c r="M1292"/>
  <c r="L1200"/>
  <c r="L1096"/>
  <c r="L1511"/>
  <c r="L1231"/>
  <c r="M1396"/>
  <c r="M1855"/>
  <c r="M1492"/>
  <c r="L1143"/>
  <c r="M1533"/>
  <c r="M1261"/>
  <c r="L1845"/>
  <c r="L1508"/>
  <c r="L1475"/>
  <c r="L1425"/>
  <c r="M1446"/>
  <c r="M1415"/>
  <c r="M1050"/>
  <c r="L1461"/>
  <c r="L1318"/>
  <c r="M1198"/>
  <c r="L1522"/>
  <c r="L1403"/>
  <c r="M1362"/>
  <c r="L1103"/>
  <c r="L1310"/>
  <c r="L1203"/>
  <c r="L1152"/>
  <c r="M1104"/>
  <c r="L1067"/>
  <c r="M1276"/>
  <c r="L1193"/>
  <c r="L1070"/>
  <c r="L1465"/>
  <c r="M1433"/>
  <c r="M1525"/>
  <c r="L1131"/>
  <c r="L1453"/>
  <c r="M1844"/>
  <c r="M1812"/>
  <c r="L1495"/>
  <c r="L1365"/>
  <c r="L1165"/>
  <c r="L1136"/>
  <c r="L1118"/>
  <c r="M1498"/>
  <c r="M1419"/>
  <c r="L1050"/>
  <c r="M1319"/>
  <c r="L1208"/>
  <c r="L1449"/>
  <c r="L1091"/>
  <c r="L1433"/>
  <c r="L1314"/>
  <c r="L1255"/>
  <c r="M1107"/>
  <c r="L1313"/>
  <c r="M1496"/>
  <c r="M1317"/>
  <c r="M1206"/>
  <c r="L1332"/>
  <c r="L1169"/>
  <c r="M1203"/>
  <c r="L1083"/>
  <c r="L1192"/>
  <c r="L1049"/>
  <c r="L1218"/>
  <c r="M1381"/>
  <c r="M1082"/>
  <c r="M1148"/>
  <c r="L1209"/>
  <c r="M1048"/>
  <c r="L1217"/>
  <c r="L1223"/>
  <c r="L1116"/>
  <c r="J149" i="1"/>
  <c r="G149"/>
  <c r="V149"/>
  <c r="W149"/>
  <c r="M150"/>
  <c r="O151"/>
  <c r="L150"/>
  <c r="N1062" i="2"/>
  <c r="N1090"/>
  <c r="N1120"/>
  <c r="N1142"/>
  <c r="N1168"/>
  <c r="N1183"/>
  <c r="N1205"/>
  <c r="N1235"/>
  <c r="N1257"/>
  <c r="N1285"/>
  <c r="N1305"/>
  <c r="N1331"/>
  <c r="N1355"/>
  <c r="N1375"/>
  <c r="O1059"/>
  <c r="O1075"/>
  <c r="O1095"/>
  <c r="O1109"/>
  <c r="O1135"/>
  <c r="O1153"/>
  <c r="O1171"/>
  <c r="O1188"/>
  <c r="O1216"/>
  <c r="O1236"/>
  <c r="O1254"/>
  <c r="O1278"/>
  <c r="O1298"/>
  <c r="O1321"/>
  <c r="O1090"/>
  <c r="N1176"/>
  <c r="N1268"/>
  <c r="O1281"/>
  <c r="O1289"/>
  <c r="O1331"/>
  <c r="O1371"/>
  <c r="N1388"/>
  <c r="O1399"/>
  <c r="N1412"/>
  <c r="N1428"/>
  <c r="N1443"/>
  <c r="N1454"/>
  <c r="N1463"/>
  <c r="N1484"/>
  <c r="O1494"/>
  <c r="N1499"/>
  <c r="O1514"/>
  <c r="N1520"/>
  <c r="O1540"/>
  <c r="O1551"/>
  <c r="N1051"/>
  <c r="N1059"/>
  <c r="N1081"/>
  <c r="N1115"/>
  <c r="N1125"/>
  <c r="O1138"/>
  <c r="O1146"/>
  <c r="N1200"/>
  <c r="N1216"/>
  <c r="O1336"/>
  <c r="O1344"/>
  <c r="N1372"/>
  <c r="O1404"/>
  <c r="O1417"/>
  <c r="O1431"/>
  <c r="O1450"/>
  <c r="N1476"/>
  <c r="N1490"/>
  <c r="N1503"/>
  <c r="O1519"/>
  <c r="N1540"/>
  <c r="N1551"/>
  <c r="O1094"/>
  <c r="O1168"/>
  <c r="O1187"/>
  <c r="O1195"/>
  <c r="N1228"/>
  <c r="O1245"/>
  <c r="N1340"/>
  <c r="O1356"/>
  <c r="N1378"/>
  <c r="N1391"/>
  <c r="N1402"/>
  <c r="O1422"/>
  <c r="N1444"/>
  <c r="O1459"/>
  <c r="O1502"/>
  <c r="N1519"/>
  <c r="O1539"/>
  <c r="N1067"/>
  <c r="N1161"/>
  <c r="N1294"/>
  <c r="O1316"/>
  <c r="N1416"/>
  <c r="N1469"/>
  <c r="O1511"/>
  <c r="N1553"/>
  <c r="N1345"/>
  <c r="O1401"/>
  <c r="N1512"/>
  <c r="O1789"/>
  <c r="O1084"/>
  <c r="O1221"/>
  <c r="O1412"/>
  <c r="O1516"/>
  <c r="O1777"/>
  <c r="O1825"/>
  <c r="O1475"/>
  <c r="O1520"/>
  <c r="N1808"/>
  <c r="O1152"/>
  <c r="N1250"/>
  <c r="O1297"/>
  <c r="N1313"/>
  <c r="N1422"/>
  <c r="O1496"/>
  <c r="O1857"/>
  <c r="N1434"/>
  <c r="N1792"/>
  <c r="O1845"/>
  <c r="O1376"/>
  <c r="O1477"/>
  <c r="N1394"/>
  <c r="O1220"/>
  <c r="N1435"/>
  <c r="O1816"/>
  <c r="N1855"/>
  <c r="N1850"/>
  <c r="N1811"/>
  <c r="N1511"/>
  <c r="O1781"/>
  <c r="N1376"/>
  <c r="O1468"/>
  <c r="O1352"/>
  <c r="N1373"/>
  <c r="O1842"/>
  <c r="O1787"/>
  <c r="O1411"/>
  <c r="N1789"/>
  <c r="N1866"/>
  <c r="N1825"/>
  <c r="O1864"/>
  <c r="O1213"/>
  <c r="O1798"/>
  <c r="O1558"/>
  <c r="O1501"/>
  <c r="O1405"/>
  <c r="O1108"/>
  <c r="N1794"/>
  <c r="N1219"/>
  <c r="O1824"/>
  <c r="N1867"/>
  <c r="N1213"/>
  <c r="N1798"/>
  <c r="N1558"/>
  <c r="O1452"/>
  <c r="O1262"/>
  <c r="N1108"/>
  <c r="O1858"/>
  <c r="O1361"/>
  <c r="N1839"/>
  <c r="O1850"/>
  <c r="O1818"/>
  <c r="O1786"/>
  <c r="O1469"/>
  <c r="O1386"/>
  <c r="N1386"/>
  <c r="N1468"/>
  <c r="O1456"/>
  <c r="O1844"/>
  <c r="O1512"/>
  <c r="O1434"/>
  <c r="O1342"/>
  <c r="N1140"/>
  <c r="N1122"/>
  <c r="O1060"/>
  <c r="O1547"/>
  <c r="O1349"/>
  <c r="O1319"/>
  <c r="N1249"/>
  <c r="N1089"/>
  <c r="O1470"/>
  <c r="O1299"/>
  <c r="N1255"/>
  <c r="O1107"/>
  <c r="O1527"/>
  <c r="O1446"/>
  <c r="O1317"/>
  <c r="N1229"/>
  <c r="O1114"/>
  <c r="N1409"/>
  <c r="N1832"/>
  <c r="O1810"/>
  <c r="N1471"/>
  <c r="O1261"/>
  <c r="O1863"/>
  <c r="O1838"/>
  <c r="O1799"/>
  <c r="O1491"/>
  <c r="O1425"/>
  <c r="N1197"/>
  <c r="N1868"/>
  <c r="N1804"/>
  <c r="O1529"/>
  <c r="O1374"/>
  <c r="O1307"/>
  <c r="O1265"/>
  <c r="N1113"/>
  <c r="O1553"/>
  <c r="O1535"/>
  <c r="O1369"/>
  <c r="N1299"/>
  <c r="O1154"/>
  <c r="N1548"/>
  <c r="N1483"/>
  <c r="N1362"/>
  <c r="O1275"/>
  <c r="O1200"/>
  <c r="N1114"/>
  <c r="N1357"/>
  <c r="N1408"/>
  <c r="N1803"/>
  <c r="O1537"/>
  <c r="N1830"/>
  <c r="N1838"/>
  <c r="N1815"/>
  <c r="N1783"/>
  <c r="N1439"/>
  <c r="O1052"/>
  <c r="N1384"/>
  <c r="O1337"/>
  <c r="N1307"/>
  <c r="N1265"/>
  <c r="N1072"/>
  <c r="N1417"/>
  <c r="O1251"/>
  <c r="O1158"/>
  <c r="O1106"/>
  <c r="O1388"/>
  <c r="O1292"/>
  <c r="O1225"/>
  <c r="N1167"/>
  <c r="N1078"/>
  <c r="N1335"/>
  <c r="N1481"/>
  <c r="O1471"/>
  <c r="N1814"/>
  <c r="N1813"/>
  <c r="O1544"/>
  <c r="O1439"/>
  <c r="O1350"/>
  <c r="O1140"/>
  <c r="O1122"/>
  <c r="O1849"/>
  <c r="O1785"/>
  <c r="O1056"/>
  <c r="O1517"/>
  <c r="O1370"/>
  <c r="N1287"/>
  <c r="O1208"/>
  <c r="N1076"/>
  <c r="O1335"/>
  <c r="O1295"/>
  <c r="N1218"/>
  <c r="N1158"/>
  <c r="O1117"/>
  <c r="N1066"/>
  <c r="N1449"/>
  <c r="N1364"/>
  <c r="N1292"/>
  <c r="N1243"/>
  <c r="N1193"/>
  <c r="N1070"/>
  <c r="N1296"/>
  <c r="N1202"/>
  <c r="N1097"/>
  <c r="O1308"/>
  <c r="O1270"/>
  <c r="O1234"/>
  <c r="O1186"/>
  <c r="O1133"/>
  <c r="O1061"/>
  <c r="N1252"/>
  <c r="N1186"/>
  <c r="N1266"/>
  <c r="N1190"/>
  <c r="N1057"/>
  <c r="O1296"/>
  <c r="O1256"/>
  <c r="O1214"/>
  <c r="O1159"/>
  <c r="O1119"/>
  <c r="N1315"/>
  <c r="N1204"/>
  <c r="N1123"/>
  <c r="N1048"/>
  <c r="O1381"/>
  <c r="O1209"/>
  <c r="O1277"/>
  <c r="O1048"/>
  <c r="O1424"/>
  <c r="N1148"/>
  <c r="N1058"/>
  <c r="N1084"/>
  <c r="N1112"/>
  <c r="N1138"/>
  <c r="N1160"/>
  <c r="N1179"/>
  <c r="N1195"/>
  <c r="N1227"/>
  <c r="N1253"/>
  <c r="N1281"/>
  <c r="N1301"/>
  <c r="N1327"/>
  <c r="N1347"/>
  <c r="N1371"/>
  <c r="O1055"/>
  <c r="O1069"/>
  <c r="O1091"/>
  <c r="O1105"/>
  <c r="O1131"/>
  <c r="O1147"/>
  <c r="O1169"/>
  <c r="O1184"/>
  <c r="O1212"/>
  <c r="O1228"/>
  <c r="O1246"/>
  <c r="O1272"/>
  <c r="O1290"/>
  <c r="O1313"/>
  <c r="N1075"/>
  <c r="O1175"/>
  <c r="O1267"/>
  <c r="N1278"/>
  <c r="N1286"/>
  <c r="O1328"/>
  <c r="O1368"/>
  <c r="N1383"/>
  <c r="N1396"/>
  <c r="O1410"/>
  <c r="O1423"/>
  <c r="O1441"/>
  <c r="O1449"/>
  <c r="N1462"/>
  <c r="O1483"/>
  <c r="O1490"/>
  <c r="N1498"/>
  <c r="O1507"/>
  <c r="O1518"/>
  <c r="N1528"/>
  <c r="N1550"/>
  <c r="O1559"/>
  <c r="O1058"/>
  <c r="O1080"/>
  <c r="O1112"/>
  <c r="O1124"/>
  <c r="N1135"/>
  <c r="N1143"/>
  <c r="O1173"/>
  <c r="O1215"/>
  <c r="N1332"/>
  <c r="O1343"/>
  <c r="N1368"/>
  <c r="O1400"/>
  <c r="N1415"/>
  <c r="N1423"/>
  <c r="O1442"/>
  <c r="O1473"/>
  <c r="N1488"/>
  <c r="N1500"/>
  <c r="O1509"/>
  <c r="O1538"/>
  <c r="O1549"/>
  <c r="N1069"/>
  <c r="N1099"/>
  <c r="N1184"/>
  <c r="N1192"/>
  <c r="O1227"/>
  <c r="N1242"/>
  <c r="N1336"/>
  <c r="O1355"/>
  <c r="O1363"/>
  <c r="O1389"/>
  <c r="N1400"/>
  <c r="O1418"/>
  <c r="N1442"/>
  <c r="O1455"/>
  <c r="O1474"/>
  <c r="N1517"/>
  <c r="N1529"/>
  <c r="O1066"/>
  <c r="N1157"/>
  <c r="O1257"/>
  <c r="O1312"/>
  <c r="O1409"/>
  <c r="O1443"/>
  <c r="O1499"/>
  <c r="O1550"/>
  <c r="N1222"/>
  <c r="O1390"/>
  <c r="N1495"/>
  <c r="N1856"/>
  <c r="O1205"/>
  <c r="N1349"/>
  <c r="N1510"/>
  <c r="N1812"/>
  <c r="O1104"/>
  <c r="N1491"/>
  <c r="N1776"/>
  <c r="O1092"/>
  <c r="N1236"/>
  <c r="O1291"/>
  <c r="N1309"/>
  <c r="N1418"/>
  <c r="O1485"/>
  <c r="O1841"/>
  <c r="N1351"/>
  <c r="O1528"/>
  <c r="N1414"/>
  <c r="N1801"/>
  <c r="N1525"/>
  <c r="N1406"/>
  <c r="O1338"/>
  <c r="N1533"/>
  <c r="O1835"/>
  <c r="O1353"/>
  <c r="N1859"/>
  <c r="N1818"/>
  <c r="N1786"/>
  <c r="N1848"/>
  <c r="O1395"/>
  <c r="O1804"/>
  <c r="N1493"/>
  <c r="N1367"/>
  <c r="N1201"/>
  <c r="N1858"/>
  <c r="O1794"/>
  <c r="O1513"/>
  <c r="N1862"/>
  <c r="N1834"/>
  <c r="N1777"/>
  <c r="O1861"/>
  <c r="O1867"/>
  <c r="N1807"/>
  <c r="O1524"/>
  <c r="O1408"/>
  <c r="O1130"/>
  <c r="N1835"/>
  <c r="N1353"/>
  <c r="O1840"/>
  <c r="O1776"/>
  <c r="N1411"/>
  <c r="N1395"/>
  <c r="N1823"/>
  <c r="N1489"/>
  <c r="O1346"/>
  <c r="N1130"/>
  <c r="N1129"/>
  <c r="O1414"/>
  <c r="O1839"/>
  <c r="O1859"/>
  <c r="O1827"/>
  <c r="O1795"/>
  <c r="O1531"/>
  <c r="O1427"/>
  <c r="O1416"/>
  <c r="N1784"/>
  <c r="O1480"/>
  <c r="O1860"/>
  <c r="O1796"/>
  <c r="N1536"/>
  <c r="O1440"/>
  <c r="N1350"/>
  <c r="N1144"/>
  <c r="N1126"/>
  <c r="N1087"/>
  <c r="N1370"/>
  <c r="O1323"/>
  <c r="N1273"/>
  <c r="O1113"/>
  <c r="O1488"/>
  <c r="N1314"/>
  <c r="O1259"/>
  <c r="N1117"/>
  <c r="O1083"/>
  <c r="O1462"/>
  <c r="O1354"/>
  <c r="N1247"/>
  <c r="O1185"/>
  <c r="N1465"/>
  <c r="N1864"/>
  <c r="N1865"/>
  <c r="O1526"/>
  <c r="O1435"/>
  <c r="N1805"/>
  <c r="O1847"/>
  <c r="O1806"/>
  <c r="N1544"/>
  <c r="N1440"/>
  <c r="N1342"/>
  <c r="O1088"/>
  <c r="N1820"/>
  <c r="N1389"/>
  <c r="N1323"/>
  <c r="N1279"/>
  <c r="O1174"/>
  <c r="O1543"/>
  <c r="O1377"/>
  <c r="O1303"/>
  <c r="O1233"/>
  <c r="N1497"/>
  <c r="O1392"/>
  <c r="N1317"/>
  <c r="N1206"/>
  <c r="O1167"/>
  <c r="N1427"/>
  <c r="N1432"/>
  <c r="N1810"/>
  <c r="O1846"/>
  <c r="N1847"/>
  <c r="N1822"/>
  <c r="N1790"/>
  <c r="N1475"/>
  <c r="N1088"/>
  <c r="N1064"/>
  <c r="N1397"/>
  <c r="O1345"/>
  <c r="O1318"/>
  <c r="O1269"/>
  <c r="O1076"/>
  <c r="O1557"/>
  <c r="O1478"/>
  <c r="N1303"/>
  <c r="O1203"/>
  <c r="N1128"/>
  <c r="N1441"/>
  <c r="O1322"/>
  <c r="N1239"/>
  <c r="O1182"/>
  <c r="N1096"/>
  <c r="O1231"/>
  <c r="O1493"/>
  <c r="N1526"/>
  <c r="N1853"/>
  <c r="N1829"/>
  <c r="N1457"/>
  <c r="O1365"/>
  <c r="O1144"/>
  <c r="O1126"/>
  <c r="O1865"/>
  <c r="O1801"/>
  <c r="O1065"/>
  <c r="N1393"/>
  <c r="O1293"/>
  <c r="O1249"/>
  <c r="O1089"/>
  <c r="O1373"/>
  <c r="N1310"/>
  <c r="N1221"/>
  <c r="O1162"/>
  <c r="O1129"/>
  <c r="N1086"/>
  <c r="N1518"/>
  <c r="O1383"/>
  <c r="O1306"/>
  <c r="O1247"/>
  <c r="O1199"/>
  <c r="O1093"/>
  <c r="N1324"/>
  <c r="N1214"/>
  <c r="N1127"/>
  <c r="O1315"/>
  <c r="O1280"/>
  <c r="O1244"/>
  <c r="O1194"/>
  <c r="O1141"/>
  <c r="O1073"/>
  <c r="N1280"/>
  <c r="N1226"/>
  <c r="N1053"/>
  <c r="N1284"/>
  <c r="N1232"/>
  <c r="N1119"/>
  <c r="O1304"/>
  <c r="O1266"/>
  <c r="O1232"/>
  <c r="O1178"/>
  <c r="O1127"/>
  <c r="O1057"/>
  <c r="N1260"/>
  <c r="N1141"/>
  <c r="N1061"/>
  <c r="O1116"/>
  <c r="O1545"/>
  <c r="O1068"/>
  <c r="N1277"/>
  <c r="N1237"/>
  <c r="N1545"/>
  <c r="O1217"/>
  <c r="N1054"/>
  <c r="N1080"/>
  <c r="N1098"/>
  <c r="N1134"/>
  <c r="N1156"/>
  <c r="N1175"/>
  <c r="N1191"/>
  <c r="N1215"/>
  <c r="N1245"/>
  <c r="N1271"/>
  <c r="N1297"/>
  <c r="N1316"/>
  <c r="N1343"/>
  <c r="N1363"/>
  <c r="O1051"/>
  <c r="O1067"/>
  <c r="O1085"/>
  <c r="O1103"/>
  <c r="O1125"/>
  <c r="O1143"/>
  <c r="O1161"/>
  <c r="O1180"/>
  <c r="O1196"/>
  <c r="O1224"/>
  <c r="O1242"/>
  <c r="O1268"/>
  <c r="O1286"/>
  <c r="O1309"/>
  <c r="O1074"/>
  <c r="N1103"/>
  <c r="N1180"/>
  <c r="N1272"/>
  <c r="O1285"/>
  <c r="O1327"/>
  <c r="N1366"/>
  <c r="O1375"/>
  <c r="N1392"/>
  <c r="O1403"/>
  <c r="O1419"/>
  <c r="O1433"/>
  <c r="N1448"/>
  <c r="N1460"/>
  <c r="N1482"/>
  <c r="O1486"/>
  <c r="O1497"/>
  <c r="O1503"/>
  <c r="N1516"/>
  <c r="N1527"/>
  <c r="O1548"/>
  <c r="N1556"/>
  <c r="N1055"/>
  <c r="N1063"/>
  <c r="N1109"/>
  <c r="N1121"/>
  <c r="O1134"/>
  <c r="O1142"/>
  <c r="N1171"/>
  <c r="N1212"/>
  <c r="N1328"/>
  <c r="O1340"/>
  <c r="O1348"/>
  <c r="O1391"/>
  <c r="O1413"/>
  <c r="O1421"/>
  <c r="N1436"/>
  <c r="N1470"/>
  <c r="N1486"/>
  <c r="N1494"/>
  <c r="N1507"/>
  <c r="N1535"/>
  <c r="N1543"/>
  <c r="N1559"/>
  <c r="N1049"/>
  <c r="O1098"/>
  <c r="O1183"/>
  <c r="O1191"/>
  <c r="N1224"/>
  <c r="O1241"/>
  <c r="N1321"/>
  <c r="N1348"/>
  <c r="O1360"/>
  <c r="O1384"/>
  <c r="O1397"/>
  <c r="N1413"/>
  <c r="N1431"/>
  <c r="N1450"/>
  <c r="N1464"/>
  <c r="O1510"/>
  <c r="N1523"/>
  <c r="N1549"/>
  <c r="N1047"/>
  <c r="N1153"/>
  <c r="O1253"/>
  <c r="N1302"/>
  <c r="O1366"/>
  <c r="O1430"/>
  <c r="O1482"/>
  <c r="N1539"/>
  <c r="N1557"/>
  <c r="N1208"/>
  <c r="N1387"/>
  <c r="N1466"/>
  <c r="N1840"/>
  <c r="O1181"/>
  <c r="N1341"/>
  <c r="N1506"/>
  <c r="O1809"/>
  <c r="N1085"/>
  <c r="N1487"/>
  <c r="O1536"/>
  <c r="O1853"/>
  <c r="O1160"/>
  <c r="N1258"/>
  <c r="O1305"/>
  <c r="N1356"/>
  <c r="O1463"/>
  <c r="N1828"/>
  <c r="N1337"/>
  <c r="N1508"/>
  <c r="O1837"/>
  <c r="O1829"/>
  <c r="O1530"/>
  <c r="O1432"/>
  <c r="N1346"/>
  <c r="O1201"/>
  <c r="N1851"/>
  <c r="N1467"/>
  <c r="O1782"/>
  <c r="N1827"/>
  <c r="N1795"/>
  <c r="N1407"/>
  <c r="O1807"/>
  <c r="N1524"/>
  <c r="N1405"/>
  <c r="N1262"/>
  <c r="N1107"/>
  <c r="O1832"/>
  <c r="O1219"/>
  <c r="N1841"/>
  <c r="N1793"/>
  <c r="O1797"/>
  <c r="O1823"/>
  <c r="N1530"/>
  <c r="O1451"/>
  <c r="O1170"/>
  <c r="O1472"/>
  <c r="O1836"/>
  <c r="O1856"/>
  <c r="O1792"/>
  <c r="N1472"/>
  <c r="N1800"/>
  <c r="N1785"/>
  <c r="O1407"/>
  <c r="N1079"/>
  <c r="N1501"/>
  <c r="O1394"/>
  <c r="N1170"/>
  <c r="N1325"/>
  <c r="O1855"/>
  <c r="O1791"/>
  <c r="O1866"/>
  <c r="O1834"/>
  <c r="O1802"/>
  <c r="O1437"/>
  <c r="O1420"/>
  <c r="N1377"/>
  <c r="N1819"/>
  <c r="O1533"/>
  <c r="O1830"/>
  <c r="O1812"/>
  <c r="O1552"/>
  <c r="N1479"/>
  <c r="O1385"/>
  <c r="N1150"/>
  <c r="N1132"/>
  <c r="N1110"/>
  <c r="N1352"/>
  <c r="N1050"/>
  <c r="N1447"/>
  <c r="N1330"/>
  <c r="O1279"/>
  <c r="N1177"/>
  <c r="N1505"/>
  <c r="O1382"/>
  <c r="N1263"/>
  <c r="N1162"/>
  <c r="O1087"/>
  <c r="O1050"/>
  <c r="O1484"/>
  <c r="O1362"/>
  <c r="N1264"/>
  <c r="N1199"/>
  <c r="N1093"/>
  <c r="O1379"/>
  <c r="O1489"/>
  <c r="O1800"/>
  <c r="O1453"/>
  <c r="O1820"/>
  <c r="N1854"/>
  <c r="O1815"/>
  <c r="O1783"/>
  <c r="N1552"/>
  <c r="O1457"/>
  <c r="N1365"/>
  <c r="N1165"/>
  <c r="N1836"/>
  <c r="N1060"/>
  <c r="O1402"/>
  <c r="O1326"/>
  <c r="O1283"/>
  <c r="O1207"/>
  <c r="O1047"/>
  <c r="O1078"/>
  <c r="N1382"/>
  <c r="O1325"/>
  <c r="N1259"/>
  <c r="N1083"/>
  <c r="O1515"/>
  <c r="N1403"/>
  <c r="N1320"/>
  <c r="O1230"/>
  <c r="N1185"/>
  <c r="N1816"/>
  <c r="N1477"/>
  <c r="O1848"/>
  <c r="N1261"/>
  <c r="N1863"/>
  <c r="N1831"/>
  <c r="N1799"/>
  <c r="O1508"/>
  <c r="N1172"/>
  <c r="N1459"/>
  <c r="O1351"/>
  <c r="N1326"/>
  <c r="N1283"/>
  <c r="N1174"/>
  <c r="N1509"/>
  <c r="O1310"/>
  <c r="O1218"/>
  <c r="O1149"/>
  <c r="O1454"/>
  <c r="O1358"/>
  <c r="O1243"/>
  <c r="N1189"/>
  <c r="O1100"/>
  <c r="N1437"/>
  <c r="O1819"/>
  <c r="N1398"/>
  <c r="N1845"/>
  <c r="N1781"/>
  <c r="O1487"/>
  <c r="O1387"/>
  <c r="O1150"/>
  <c r="O1132"/>
  <c r="O1110"/>
  <c r="O1817"/>
  <c r="N1329"/>
  <c r="N1429"/>
  <c r="N1318"/>
  <c r="N1269"/>
  <c r="O1177"/>
  <c r="N1473"/>
  <c r="O1314"/>
  <c r="N1251"/>
  <c r="N1166"/>
  <c r="N1149"/>
  <c r="N1092"/>
  <c r="N1399"/>
  <c r="N1322"/>
  <c r="O1264"/>
  <c r="N1225"/>
  <c r="N1100"/>
  <c r="N1240"/>
  <c r="N1145"/>
  <c r="O1288"/>
  <c r="O1252"/>
  <c r="O1204"/>
  <c r="O1155"/>
  <c r="O1111"/>
  <c r="N1300"/>
  <c r="N1234"/>
  <c r="N1133"/>
  <c r="N1304"/>
  <c r="N1248"/>
  <c r="N1137"/>
  <c r="O1311"/>
  <c r="O1274"/>
  <c r="O1240"/>
  <c r="O1190"/>
  <c r="O1137"/>
  <c r="O1071"/>
  <c r="N1270"/>
  <c r="N1155"/>
  <c r="N1073"/>
  <c r="N1116"/>
  <c r="N1424"/>
  <c r="O1102"/>
  <c r="O1438"/>
  <c r="N1209"/>
  <c r="O1082"/>
  <c r="N1217"/>
  <c r="N1074"/>
  <c r="N1094"/>
  <c r="N1124"/>
  <c r="N1146"/>
  <c r="N1173"/>
  <c r="N1187"/>
  <c r="N1211"/>
  <c r="N1241"/>
  <c r="N1267"/>
  <c r="N1289"/>
  <c r="N1312"/>
  <c r="N1339"/>
  <c r="N1359"/>
  <c r="O1049"/>
  <c r="O1063"/>
  <c r="O1081"/>
  <c r="O1099"/>
  <c r="O1121"/>
  <c r="O1139"/>
  <c r="O1157"/>
  <c r="O1176"/>
  <c r="O1192"/>
  <c r="O1222"/>
  <c r="O1238"/>
  <c r="O1258"/>
  <c r="O1282"/>
  <c r="O1302"/>
  <c r="N1091"/>
  <c r="O1179"/>
  <c r="O1271"/>
  <c r="N1282"/>
  <c r="N1290"/>
  <c r="O1332"/>
  <c r="O1372"/>
  <c r="N1390"/>
  <c r="N1401"/>
  <c r="O1415"/>
  <c r="N1430"/>
  <c r="N1446"/>
  <c r="N1458"/>
  <c r="O1476"/>
  <c r="N1485"/>
  <c r="N1496"/>
  <c r="O1500"/>
  <c r="N1515"/>
  <c r="O1522"/>
  <c r="N1546"/>
  <c r="O1555"/>
  <c r="O1054"/>
  <c r="O1062"/>
  <c r="N1101"/>
  <c r="O1120"/>
  <c r="N1131"/>
  <c r="N1139"/>
  <c r="N1147"/>
  <c r="O1211"/>
  <c r="N1230"/>
  <c r="O1339"/>
  <c r="O1347"/>
  <c r="O1378"/>
  <c r="N1410"/>
  <c r="N1419"/>
  <c r="N1433"/>
  <c r="O1461"/>
  <c r="N1478"/>
  <c r="N1492"/>
  <c r="O1505"/>
  <c r="O1523"/>
  <c r="O1542"/>
  <c r="N1555"/>
  <c r="N1095"/>
  <c r="N1169"/>
  <c r="N1188"/>
  <c r="N1196"/>
  <c r="N1238"/>
  <c r="N1246"/>
  <c r="N1344"/>
  <c r="O1359"/>
  <c r="O1380"/>
  <c r="O1393"/>
  <c r="N1404"/>
  <c r="O1429"/>
  <c r="O1447"/>
  <c r="N1461"/>
  <c r="O1506"/>
  <c r="N1521"/>
  <c r="N1547"/>
  <c r="N1077"/>
  <c r="O1235"/>
  <c r="N1298"/>
  <c r="N1360"/>
  <c r="N1420"/>
  <c r="N1474"/>
  <c r="N1531"/>
  <c r="O1556"/>
  <c r="N1860"/>
  <c r="N1380"/>
  <c r="O1460"/>
  <c r="O1821"/>
  <c r="N1105"/>
  <c r="O1263"/>
  <c r="N1502"/>
  <c r="N1796"/>
  <c r="N1844"/>
  <c r="O1479"/>
  <c r="O1532"/>
  <c r="N1824"/>
  <c r="O1156"/>
  <c r="N1254"/>
  <c r="O1301"/>
  <c r="N1319"/>
  <c r="O1448"/>
  <c r="O1546"/>
  <c r="O1793"/>
  <c r="O1166"/>
  <c r="N1504"/>
  <c r="O1805"/>
  <c r="N1513"/>
  <c r="O1852"/>
  <c r="O1534"/>
  <c r="N1452"/>
  <c r="O1367"/>
  <c r="N1210"/>
  <c r="N1333"/>
  <c r="N1791"/>
  <c r="N1843"/>
  <c r="N1802"/>
  <c r="N1817"/>
  <c r="O1445"/>
  <c r="N1151"/>
  <c r="O1554"/>
  <c r="N1451"/>
  <c r="N1338"/>
  <c r="N1537"/>
  <c r="N1842"/>
  <c r="O1784"/>
  <c r="N1361"/>
  <c r="N1782"/>
  <c r="N1857"/>
  <c r="N1809"/>
  <c r="O1467"/>
  <c r="N1833"/>
  <c r="O1079"/>
  <c r="N1554"/>
  <c r="O1481"/>
  <c r="N1220"/>
  <c r="N1480"/>
  <c r="N1787"/>
  <c r="O1868"/>
  <c r="O1808"/>
  <c r="O1813"/>
  <c r="N1849"/>
  <c r="N1445"/>
  <c r="O1151"/>
  <c r="O1788"/>
  <c r="O1525"/>
  <c r="O1406"/>
  <c r="O1210"/>
  <c r="N1541"/>
  <c r="O1851"/>
  <c r="O1862"/>
  <c r="N1821"/>
  <c r="O1843"/>
  <c r="O1811"/>
  <c r="O1465"/>
  <c r="O1357"/>
  <c r="N1164"/>
  <c r="N1826"/>
  <c r="O1541"/>
  <c r="N1846"/>
  <c r="O1828"/>
  <c r="O1504"/>
  <c r="N1425"/>
  <c r="O1197"/>
  <c r="N1136"/>
  <c r="N1118"/>
  <c r="N1056"/>
  <c r="O1464"/>
  <c r="O1341"/>
  <c r="N1293"/>
  <c r="N1198"/>
  <c r="O1077"/>
  <c r="N1538"/>
  <c r="N1421"/>
  <c r="N1295"/>
  <c r="N1181"/>
  <c r="N1104"/>
  <c r="O1498"/>
  <c r="O1396"/>
  <c r="N1306"/>
  <c r="O1206"/>
  <c r="O1101"/>
  <c r="N1231"/>
  <c r="N1534"/>
  <c r="O1803"/>
  <c r="N1456"/>
  <c r="N1837"/>
  <c r="O1854"/>
  <c r="O1822"/>
  <c r="O1790"/>
  <c r="O1466"/>
  <c r="N1385"/>
  <c r="O1172"/>
  <c r="N1852"/>
  <c r="N1788"/>
  <c r="O1064"/>
  <c r="O1444"/>
  <c r="O1334"/>
  <c r="O1294"/>
  <c r="O1250"/>
  <c r="O1072"/>
  <c r="O1320"/>
  <c r="O1436"/>
  <c r="O1333"/>
  <c r="N1291"/>
  <c r="O1128"/>
  <c r="N1522"/>
  <c r="O1458"/>
  <c r="N1354"/>
  <c r="O1239"/>
  <c r="O1189"/>
  <c r="O1096"/>
  <c r="O1164"/>
  <c r="N1369"/>
  <c r="O1398"/>
  <c r="O1814"/>
  <c r="O1831"/>
  <c r="N1806"/>
  <c r="N1532"/>
  <c r="O1426"/>
  <c r="O1521"/>
  <c r="N1374"/>
  <c r="N1334"/>
  <c r="O1287"/>
  <c r="N1207"/>
  <c r="N1542"/>
  <c r="N1379"/>
  <c r="N1233"/>
  <c r="N1154"/>
  <c r="O1086"/>
  <c r="N1514"/>
  <c r="O1364"/>
  <c r="N1275"/>
  <c r="O1193"/>
  <c r="O1115"/>
  <c r="O1070"/>
  <c r="N1276"/>
  <c r="O1826"/>
  <c r="N1453"/>
  <c r="N1861"/>
  <c r="N1797"/>
  <c r="O1495"/>
  <c r="N1426"/>
  <c r="O1165"/>
  <c r="O1136"/>
  <c r="O1118"/>
  <c r="O1833"/>
  <c r="N1052"/>
  <c r="N1455"/>
  <c r="O1330"/>
  <c r="O1273"/>
  <c r="O1198"/>
  <c r="O1492"/>
  <c r="O1329"/>
  <c r="O1255"/>
  <c r="N1203"/>
  <c r="N1152"/>
  <c r="N1106"/>
  <c r="O1428"/>
  <c r="N1358"/>
  <c r="O1276"/>
  <c r="O1229"/>
  <c r="N1182"/>
  <c r="N1065"/>
  <c r="N1274"/>
  <c r="N1159"/>
  <c r="N1071"/>
  <c r="O1300"/>
  <c r="O1260"/>
  <c r="O1226"/>
  <c r="O1163"/>
  <c r="O1123"/>
  <c r="O1053"/>
  <c r="N1308"/>
  <c r="N1244"/>
  <c r="N1163"/>
  <c r="N1311"/>
  <c r="N1256"/>
  <c r="N1178"/>
  <c r="O1324"/>
  <c r="O1284"/>
  <c r="O1248"/>
  <c r="O1202"/>
  <c r="O1145"/>
  <c r="O1097"/>
  <c r="N1288"/>
  <c r="N1194"/>
  <c r="N1111"/>
  <c r="N1223"/>
  <c r="N1438"/>
  <c r="O1237"/>
  <c r="N1102"/>
  <c r="N1381"/>
  <c r="N1068"/>
  <c r="O1223"/>
  <c r="N1082"/>
  <c r="O1148"/>
  <c r="J150" i="1" l="1"/>
  <c r="V150"/>
  <c r="M151"/>
  <c r="L151"/>
  <c r="O152"/>
  <c r="L152" s="1"/>
  <c r="O153"/>
  <c r="M153" l="1"/>
  <c r="L153"/>
  <c r="O154"/>
  <c r="J151"/>
  <c r="W151"/>
  <c r="V151"/>
  <c r="T1551" i="2"/>
  <c r="R1579"/>
  <c r="V1579" s="1"/>
  <c r="S1581"/>
  <c r="S1595"/>
  <c r="R1584"/>
  <c r="V1584" s="1"/>
  <c r="T1570"/>
  <c r="S1572"/>
  <c r="R1575"/>
  <c r="V1575" s="1"/>
  <c r="R1586"/>
  <c r="V1586" s="1"/>
  <c r="T1544"/>
  <c r="U1571"/>
  <c r="T1599"/>
  <c r="S1564"/>
  <c r="S1594"/>
  <c r="S1551"/>
  <c r="R1551"/>
  <c r="V1551" s="1"/>
  <c r="R1543"/>
  <c r="V1543" s="1"/>
  <c r="U1588"/>
  <c r="S1575"/>
  <c r="T1584"/>
  <c r="U1556"/>
  <c r="U1579"/>
  <c r="U1545"/>
  <c r="T1555"/>
  <c r="T1583"/>
  <c r="U1549"/>
  <c r="R1569"/>
  <c r="V1569" s="1"/>
  <c r="T1554"/>
  <c r="U1576"/>
  <c r="S1578"/>
  <c r="T1560"/>
  <c r="U1557"/>
  <c r="U1585"/>
  <c r="U1560"/>
  <c r="R1567"/>
  <c r="V1567" s="1"/>
  <c r="T1597"/>
  <c r="R1556"/>
  <c r="V1556" s="1"/>
  <c r="R1583"/>
  <c r="V1583" s="1"/>
  <c r="S1549"/>
  <c r="S1565"/>
  <c r="S1557"/>
  <c r="R1552"/>
  <c r="V1552" s="1"/>
  <c r="T1563"/>
  <c r="U1570"/>
  <c r="S1590"/>
  <c r="U1552"/>
  <c r="U1591"/>
  <c r="R1563"/>
  <c r="V1563" s="1"/>
  <c r="T1548"/>
  <c r="T1546"/>
  <c r="R1571"/>
  <c r="V1571" s="1"/>
  <c r="S1569"/>
  <c r="R1581"/>
  <c r="V1581" s="1"/>
  <c r="T1590"/>
  <c r="S1567"/>
  <c r="U1581"/>
  <c r="R1566"/>
  <c r="V1566" s="1"/>
  <c r="T1600"/>
  <c r="S1582"/>
  <c r="S1580"/>
  <c r="S1543"/>
  <c r="U1567"/>
  <c r="R1545"/>
  <c r="V1545" s="1"/>
  <c r="S1556"/>
  <c r="R1585"/>
  <c r="V1585" s="1"/>
  <c r="R1594"/>
  <c r="V1594" s="1"/>
  <c r="S1599"/>
  <c r="T1572"/>
  <c r="U1563"/>
  <c r="T1591"/>
  <c r="U1544"/>
  <c r="U1580"/>
  <c r="S1546"/>
  <c r="S1596"/>
  <c r="T1552"/>
  <c r="U1548"/>
  <c r="S1574"/>
  <c r="S1593"/>
  <c r="T1549"/>
  <c r="T1598"/>
  <c r="U1583"/>
  <c r="U1582"/>
  <c r="T1558"/>
  <c r="U1554"/>
  <c r="T1587"/>
  <c r="U1564"/>
  <c r="U1589"/>
  <c r="S1544"/>
  <c r="R1600"/>
  <c r="V1600" s="1"/>
  <c r="U1584"/>
  <c r="R1550"/>
  <c r="V1550" s="1"/>
  <c r="T1559"/>
  <c r="R1591"/>
  <c r="V1591" s="1"/>
  <c r="U1543"/>
  <c r="R1598"/>
  <c r="V1598" s="1"/>
  <c r="R1559"/>
  <c r="V1559" s="1"/>
  <c r="U1558"/>
  <c r="U1600"/>
  <c r="U1562"/>
  <c r="U1592"/>
  <c r="U1574"/>
  <c r="T1596"/>
  <c r="T1553"/>
  <c r="R1587"/>
  <c r="V1587" s="1"/>
  <c r="T1557"/>
  <c r="R1565"/>
  <c r="V1565" s="1"/>
  <c r="R1595"/>
  <c r="V1595" s="1"/>
  <c r="S1555"/>
  <c r="R1555"/>
  <c r="V1555" s="1"/>
  <c r="T1564"/>
  <c r="U1551"/>
  <c r="S1547"/>
  <c r="U1587"/>
  <c r="T1575"/>
  <c r="T1577"/>
  <c r="T1543"/>
  <c r="U1566"/>
  <c r="T1566"/>
  <c r="U1599"/>
  <c r="T1565"/>
  <c r="U1550"/>
  <c r="T1550"/>
  <c r="R1577"/>
  <c r="V1577" s="1"/>
  <c r="R1574"/>
  <c r="V1574" s="1"/>
  <c r="R1597"/>
  <c r="V1597" s="1"/>
  <c r="T1594"/>
  <c r="S1585"/>
  <c r="R1580"/>
  <c r="V1580" s="1"/>
  <c r="T1556"/>
  <c r="S1576"/>
  <c r="S1554"/>
  <c r="R1596"/>
  <c r="V1596" s="1"/>
  <c r="T1568"/>
  <c r="R1572"/>
  <c r="V1572" s="1"/>
  <c r="S1584"/>
  <c r="T1567"/>
  <c r="U1577"/>
  <c r="R1576"/>
  <c r="V1576" s="1"/>
  <c r="T1580"/>
  <c r="R1546"/>
  <c r="V1546" s="1"/>
  <c r="T1569"/>
  <c r="S1598"/>
  <c r="S1573"/>
  <c r="U1593"/>
  <c r="T1574"/>
  <c r="S1577"/>
  <c r="S1553"/>
  <c r="S1586"/>
  <c r="U1572"/>
  <c r="T1592"/>
  <c r="S1560"/>
  <c r="R1548"/>
  <c r="V1548" s="1"/>
  <c r="S1592"/>
  <c r="R1568"/>
  <c r="V1568" s="1"/>
  <c r="T1579"/>
  <c r="R1553"/>
  <c r="V1553" s="1"/>
  <c r="T1581"/>
  <c r="S1583"/>
  <c r="U1547"/>
  <c r="U1597"/>
  <c r="T1586"/>
  <c r="U1573"/>
  <c r="S1588"/>
  <c r="R1592"/>
  <c r="V1592" s="1"/>
  <c r="S1562"/>
  <c r="U1586"/>
  <c r="U1565"/>
  <c r="S1548"/>
  <c r="U1546"/>
  <c r="U1594"/>
  <c r="R1582"/>
  <c r="V1582" s="1"/>
  <c r="U1598"/>
  <c r="S1566"/>
  <c r="R1557"/>
  <c r="V1557" s="1"/>
  <c r="R1589"/>
  <c r="V1589" s="1"/>
  <c r="S1597"/>
  <c r="S1568"/>
  <c r="S1600"/>
  <c r="R1562"/>
  <c r="V1562" s="1"/>
  <c r="R1588"/>
  <c r="V1588" s="1"/>
  <c r="T1589"/>
  <c r="T1561"/>
  <c r="S1570"/>
  <c r="R1599"/>
  <c r="V1599" s="1"/>
  <c r="R1564"/>
  <c r="V1564" s="1"/>
  <c r="R1573"/>
  <c r="V1573" s="1"/>
  <c r="S1561"/>
  <c r="S1579"/>
  <c r="U1569"/>
  <c r="T1562"/>
  <c r="T1582"/>
  <c r="U1578"/>
  <c r="T1588"/>
  <c r="S1552"/>
  <c r="S1550"/>
  <c r="T1595"/>
  <c r="R1554"/>
  <c r="V1554" s="1"/>
  <c r="R1590"/>
  <c r="V1590" s="1"/>
  <c r="R1558"/>
  <c r="V1558" s="1"/>
  <c r="T1547"/>
  <c r="T1571"/>
  <c r="R1561"/>
  <c r="V1561" s="1"/>
  <c r="T1593"/>
  <c r="S1559"/>
  <c r="R1593"/>
  <c r="V1593" s="1"/>
  <c r="U1555"/>
  <c r="T1578"/>
  <c r="U1559"/>
  <c r="R1560"/>
  <c r="V1560" s="1"/>
  <c r="R1544"/>
  <c r="V1544" s="1"/>
  <c r="R1578"/>
  <c r="V1578" s="1"/>
  <c r="S1558"/>
  <c r="T1576"/>
  <c r="S1587"/>
  <c r="T1585"/>
  <c r="U1553"/>
  <c r="R1549"/>
  <c r="V1549" s="1"/>
  <c r="R1547"/>
  <c r="V1547" s="1"/>
  <c r="T1573"/>
  <c r="R1570"/>
  <c r="V1570" s="1"/>
  <c r="S1591"/>
  <c r="S1571"/>
  <c r="S1589"/>
  <c r="U1575"/>
  <c r="U1568"/>
  <c r="U1595"/>
  <c r="U1596"/>
  <c r="S1563"/>
  <c r="U1561"/>
  <c r="S1545"/>
  <c r="T1545"/>
  <c r="U1590"/>
  <c r="J153" i="1" l="1"/>
  <c r="V152"/>
  <c r="O155"/>
  <c r="M154"/>
  <c r="L154"/>
  <c r="J154" l="1"/>
  <c r="G154"/>
  <c r="D154"/>
  <c r="R1624" i="2"/>
  <c r="V1624" s="1"/>
  <c r="R1608"/>
  <c r="V1608" s="1"/>
  <c r="S1605"/>
  <c r="S1618"/>
  <c r="R1610"/>
  <c r="V1610" s="1"/>
  <c r="T1612"/>
  <c r="U1602"/>
  <c r="U1623"/>
  <c r="T1623"/>
  <c r="T1604"/>
  <c r="S1609"/>
  <c r="S1614"/>
  <c r="S1625"/>
  <c r="T1602"/>
  <c r="T1620"/>
  <c r="R1603"/>
  <c r="V1603" s="1"/>
  <c r="U1608"/>
  <c r="U1606"/>
  <c r="S1617"/>
  <c r="R1625"/>
  <c r="V1625" s="1"/>
  <c r="T1625"/>
  <c r="R1606"/>
  <c r="V1606" s="1"/>
  <c r="S1622"/>
  <c r="U1620"/>
  <c r="R1601"/>
  <c r="V1601" s="1"/>
  <c r="S1612"/>
  <c r="U1601"/>
  <c r="R1602"/>
  <c r="V1602" s="1"/>
  <c r="T1624"/>
  <c r="S1604"/>
  <c r="R1622"/>
  <c r="V1622" s="1"/>
  <c r="T1608"/>
  <c r="U1607"/>
  <c r="R1620"/>
  <c r="V1620" s="1"/>
  <c r="U1604"/>
  <c r="R1605"/>
  <c r="V1605" s="1"/>
  <c r="U1615"/>
  <c r="S1611"/>
  <c r="T1603"/>
  <c r="T1610"/>
  <c r="U1603"/>
  <c r="S1619"/>
  <c r="T1619"/>
  <c r="R1619"/>
  <c r="V1619" s="1"/>
  <c r="R1604"/>
  <c r="V1604" s="1"/>
  <c r="U1612"/>
  <c r="S1610"/>
  <c r="S1601"/>
  <c r="S1607"/>
  <c r="U1616"/>
  <c r="S1616"/>
  <c r="S1623"/>
  <c r="U1622"/>
  <c r="T1617"/>
  <c r="S1620"/>
  <c r="U1610"/>
  <c r="S1621"/>
  <c r="R1617"/>
  <c r="V1617" s="1"/>
  <c r="T1607"/>
  <c r="U1618"/>
  <c r="U1624"/>
  <c r="S1615"/>
  <c r="T1615"/>
  <c r="R1618"/>
  <c r="V1618" s="1"/>
  <c r="S1624"/>
  <c r="T1609"/>
  <c r="T1632"/>
  <c r="T1611"/>
  <c r="T1613"/>
  <c r="T1614"/>
  <c r="R1612"/>
  <c r="V1612" s="1"/>
  <c r="T1622"/>
  <c r="U1605"/>
  <c r="S1606"/>
  <c r="U1609"/>
  <c r="U1613"/>
  <c r="R1615"/>
  <c r="V1615" s="1"/>
  <c r="S1603"/>
  <c r="R1613"/>
  <c r="V1613" s="1"/>
  <c r="U1619"/>
  <c r="T1621"/>
  <c r="R1611"/>
  <c r="V1611" s="1"/>
  <c r="R1621"/>
  <c r="V1621" s="1"/>
  <c r="R1623"/>
  <c r="V1623" s="1"/>
  <c r="T1606"/>
  <c r="R1616"/>
  <c r="V1616" s="1"/>
  <c r="U1614"/>
  <c r="S1613"/>
  <c r="U1611"/>
  <c r="S1633"/>
  <c r="T1601"/>
  <c r="R1609"/>
  <c r="V1609" s="1"/>
  <c r="S1608"/>
  <c r="T1605"/>
  <c r="R1607"/>
  <c r="V1607" s="1"/>
  <c r="T1618"/>
  <c r="U1621"/>
  <c r="S1602"/>
  <c r="U1625"/>
  <c r="O156" i="1"/>
  <c r="M155"/>
  <c r="W154" s="1"/>
  <c r="L155"/>
  <c r="W153"/>
  <c r="V153"/>
  <c r="R1637" i="2" l="1"/>
  <c r="V1637" s="1"/>
  <c r="R1636"/>
  <c r="V1636" s="1"/>
  <c r="T1635"/>
  <c r="R1632"/>
  <c r="V1632" s="1"/>
  <c r="J155" i="1"/>
  <c r="R1634" i="2"/>
  <c r="V1634" s="1"/>
  <c r="S1629"/>
  <c r="T1636"/>
  <c r="S1637"/>
  <c r="R1630"/>
  <c r="V1630" s="1"/>
  <c r="S1655"/>
  <c r="U1637"/>
  <c r="U1631"/>
  <c r="T1631"/>
  <c r="R1631"/>
  <c r="V1631" s="1"/>
  <c r="R1633"/>
  <c r="V1633" s="1"/>
  <c r="S1635"/>
  <c r="T1666"/>
  <c r="M156" i="1"/>
  <c r="O157" s="1"/>
  <c r="L156"/>
  <c r="O158"/>
  <c r="S1653" i="2"/>
  <c r="U1635"/>
  <c r="T1658"/>
  <c r="R1635"/>
  <c r="V1635" s="1"/>
  <c r="U1633"/>
  <c r="R1640"/>
  <c r="V1640" s="1"/>
  <c r="R1661"/>
  <c r="V1661" s="1"/>
  <c r="T1645"/>
  <c r="S1631"/>
  <c r="R1664"/>
  <c r="V1664" s="1"/>
  <c r="V154" i="1"/>
  <c r="M158" l="1"/>
  <c r="L158"/>
  <c r="O159"/>
  <c r="W155"/>
  <c r="J156"/>
  <c r="V156"/>
  <c r="R1653" i="2"/>
  <c r="V1653" s="1"/>
  <c r="U1661"/>
  <c r="R1651"/>
  <c r="V1651" s="1"/>
  <c r="S1645"/>
  <c r="U1653"/>
  <c r="S1665"/>
  <c r="V155" i="1"/>
  <c r="O160" l="1"/>
  <c r="M159"/>
  <c r="L159"/>
  <c r="J158"/>
  <c r="V158"/>
  <c r="W158"/>
  <c r="O161" l="1"/>
  <c r="M160"/>
  <c r="L160"/>
  <c r="Q1611" i="2"/>
  <c r="Q1555"/>
  <c r="Q1665"/>
  <c r="Q1631"/>
  <c r="Q1568"/>
  <c r="Q1610"/>
  <c r="Q1550"/>
  <c r="Q1657"/>
  <c r="Q1659"/>
  <c r="Q1546"/>
  <c r="Q1580"/>
  <c r="Q1633"/>
  <c r="Q1649"/>
  <c r="Q1586"/>
  <c r="Q1600"/>
  <c r="Q1640"/>
  <c r="Q1578"/>
  <c r="Q1634"/>
  <c r="Q1594"/>
  <c r="Q1643"/>
  <c r="Q1632"/>
  <c r="Q1579"/>
  <c r="Q1625"/>
  <c r="Q1569"/>
  <c r="Q1605"/>
  <c r="Q1581"/>
  <c r="Q1615"/>
  <c r="Q1618"/>
  <c r="Q1650"/>
  <c r="Q1620"/>
  <c r="Q1621"/>
  <c r="Q1559"/>
  <c r="Q1563"/>
  <c r="Q1626"/>
  <c r="Q1622"/>
  <c r="Q1628"/>
  <c r="Q1574"/>
  <c r="Q1648"/>
  <c r="Q1572"/>
  <c r="Q1608"/>
  <c r="Q1654"/>
  <c r="Q1624"/>
  <c r="Q1547"/>
  <c r="Q1647"/>
  <c r="Q1548"/>
  <c r="Q1638"/>
  <c r="Q1584"/>
  <c r="Q1596"/>
  <c r="Q1554"/>
  <c r="Q1576"/>
  <c r="Q1562"/>
  <c r="Q1616"/>
  <c r="Q1602"/>
  <c r="Q1564"/>
  <c r="Q1575"/>
  <c r="Q1630"/>
  <c r="Q1560"/>
  <c r="Q1577"/>
  <c r="Q1641"/>
  <c r="Q1570"/>
  <c r="Q1571"/>
  <c r="Q1573"/>
  <c r="Q1653"/>
  <c r="Q1587"/>
  <c r="Q1582"/>
  <c r="Q1553"/>
  <c r="Q1635"/>
  <c r="Q1604"/>
  <c r="Q1652"/>
  <c r="Q1561"/>
  <c r="Q1544"/>
  <c r="Q1598"/>
  <c r="Q1658"/>
  <c r="Q1556"/>
  <c r="Q1557"/>
  <c r="Q1609"/>
  <c r="Q1646"/>
  <c r="Q1629"/>
  <c r="Q1592"/>
  <c r="Q1567"/>
  <c r="Q1639"/>
  <c r="Q1566"/>
  <c r="Q1606"/>
  <c r="Q1552"/>
  <c r="Q1595"/>
  <c r="Q1545"/>
  <c r="Q1664"/>
  <c r="Q1637"/>
  <c r="Q1583"/>
  <c r="Q1617"/>
  <c r="Q1656"/>
  <c r="Q1558"/>
  <c r="Q1607"/>
  <c r="Q1601"/>
  <c r="Q1549"/>
  <c r="Q1663"/>
  <c r="Q1551"/>
  <c r="Q1645"/>
  <c r="Q1613"/>
  <c r="Q1588"/>
  <c r="Q1636"/>
  <c r="Q1585"/>
  <c r="Q1660"/>
  <c r="Q1662"/>
  <c r="Q1614"/>
  <c r="Q1644"/>
  <c r="Q1543"/>
  <c r="Q1655"/>
  <c r="Q1623"/>
  <c r="Q1597"/>
  <c r="Q1661"/>
  <c r="Q1590"/>
  <c r="Q1591"/>
  <c r="Q1666"/>
  <c r="Q1589"/>
  <c r="Q1651"/>
  <c r="Q1619"/>
  <c r="Q1593"/>
  <c r="Q1627"/>
  <c r="Q1612"/>
  <c r="Q1642"/>
  <c r="Q1603"/>
  <c r="Q1599"/>
  <c r="Q1565"/>
  <c r="J159" i="1"/>
  <c r="G159"/>
  <c r="D159"/>
  <c r="W159"/>
  <c r="V159"/>
  <c r="N1606" i="2" l="1"/>
  <c r="N1645"/>
  <c r="N1625"/>
  <c r="O1598"/>
  <c r="O1638"/>
  <c r="O1568"/>
  <c r="O1612"/>
  <c r="O1603"/>
  <c r="O1590"/>
  <c r="N1668"/>
  <c r="N1660"/>
  <c r="O1589"/>
  <c r="N1670"/>
  <c r="O1579"/>
  <c r="O1621"/>
  <c r="N1654"/>
  <c r="N1624"/>
  <c r="O1619"/>
  <c r="N1593"/>
  <c r="N1677"/>
  <c r="N1663"/>
  <c r="N1669"/>
  <c r="O1572"/>
  <c r="O1630"/>
  <c r="N1617"/>
  <c r="O1677"/>
  <c r="O1561"/>
  <c r="N1642"/>
  <c r="N1636"/>
  <c r="O1613"/>
  <c r="N1653"/>
  <c r="N1571"/>
  <c r="N1629"/>
  <c r="O1564"/>
  <c r="N1651"/>
  <c r="O1634"/>
  <c r="N1572"/>
  <c r="N1672"/>
  <c r="O1567"/>
  <c r="O1657"/>
  <c r="O1609"/>
  <c r="N1647"/>
  <c r="O1648"/>
  <c r="N1599"/>
  <c r="N1641"/>
  <c r="N1657"/>
  <c r="N1671"/>
  <c r="N1608"/>
  <c r="O1600"/>
  <c r="N1603"/>
  <c r="N1649"/>
  <c r="O1644"/>
  <c r="N1664"/>
  <c r="O1669"/>
  <c r="O1571"/>
  <c r="N1594"/>
  <c r="O1675"/>
  <c r="N1619"/>
  <c r="N1585"/>
  <c r="N1655"/>
  <c r="O1578"/>
  <c r="O1671"/>
  <c r="O1608"/>
  <c r="N1626"/>
  <c r="N1612"/>
  <c r="O1673"/>
  <c r="N1596"/>
  <c r="O1663"/>
  <c r="O1599"/>
  <c r="N1676"/>
  <c r="O1605"/>
  <c r="N1569"/>
  <c r="N1661"/>
  <c r="O1624"/>
  <c r="N1595"/>
  <c r="O1602"/>
  <c r="O1588"/>
  <c r="N1575"/>
  <c r="N1628"/>
  <c r="N1634"/>
  <c r="O1670"/>
  <c r="O1664"/>
  <c r="N1580"/>
  <c r="O1607"/>
  <c r="O1611"/>
  <c r="O1566"/>
  <c r="O1655"/>
  <c r="N1598"/>
  <c r="N1631"/>
  <c r="N1611"/>
  <c r="O1610"/>
  <c r="O1639"/>
  <c r="N1616"/>
  <c r="O1622"/>
  <c r="O1649"/>
  <c r="N1622"/>
  <c r="O1667"/>
  <c r="O1601"/>
  <c r="O1633"/>
  <c r="O1565"/>
  <c r="N1673"/>
  <c r="O1577"/>
  <c r="N1632"/>
  <c r="O1597"/>
  <c r="O1679"/>
  <c r="N1623"/>
  <c r="O1620"/>
  <c r="N1591"/>
  <c r="N1579"/>
  <c r="N1659"/>
  <c r="N1604"/>
  <c r="O1656"/>
  <c r="O1618"/>
  <c r="N1618"/>
  <c r="N1615"/>
  <c r="O1625"/>
  <c r="O1585"/>
  <c r="O1651"/>
  <c r="O1596"/>
  <c r="N1610"/>
  <c r="N1574"/>
  <c r="O1647"/>
  <c r="N1597"/>
  <c r="N1567"/>
  <c r="N1637"/>
  <c r="N1577"/>
  <c r="N1633"/>
  <c r="O1652"/>
  <c r="N1576"/>
  <c r="N1586"/>
  <c r="O1668"/>
  <c r="O1659"/>
  <c r="O1563"/>
  <c r="N1560"/>
  <c r="O1660"/>
  <c r="O1593"/>
  <c r="O1665"/>
  <c r="N1635"/>
  <c r="O1574"/>
  <c r="O1632"/>
  <c r="N1565"/>
  <c r="O1654"/>
  <c r="N1630"/>
  <c r="N1562"/>
  <c r="O1640"/>
  <c r="O1678"/>
  <c r="N1582"/>
  <c r="O1614"/>
  <c r="N1644"/>
  <c r="O1592"/>
  <c r="O1672"/>
  <c r="N1620"/>
  <c r="O1583"/>
  <c r="O1661"/>
  <c r="N1609"/>
  <c r="O1676"/>
  <c r="O1662"/>
  <c r="O1666"/>
  <c r="O1642"/>
  <c r="N1588"/>
  <c r="N1602"/>
  <c r="O1575"/>
  <c r="N1614"/>
  <c r="O1584"/>
  <c r="O1637"/>
  <c r="O1617"/>
  <c r="N1680"/>
  <c r="N1650"/>
  <c r="O1581"/>
  <c r="O1653"/>
  <c r="N1605"/>
  <c r="O1570"/>
  <c r="O1650"/>
  <c r="O1606"/>
  <c r="O1636"/>
  <c r="O1674"/>
  <c r="N1638"/>
  <c r="O1582"/>
  <c r="N1656"/>
  <c r="O1646"/>
  <c r="O1560"/>
  <c r="N1662"/>
  <c r="N1648"/>
  <c r="N1564"/>
  <c r="O1623"/>
  <c r="N1573"/>
  <c r="N1665"/>
  <c r="O1680"/>
  <c r="O1586"/>
  <c r="O1643"/>
  <c r="N1568"/>
  <c r="O1658"/>
  <c r="O1629"/>
  <c r="O1580"/>
  <c r="N1627"/>
  <c r="N1590"/>
  <c r="O1573"/>
  <c r="O1645"/>
  <c r="N1613"/>
  <c r="N1561"/>
  <c r="O1626"/>
  <c r="O1562"/>
  <c r="O1616"/>
  <c r="O1576"/>
  <c r="N1639"/>
  <c r="O1615"/>
  <c r="O1595"/>
  <c r="N1563"/>
  <c r="N1666"/>
  <c r="N1570"/>
  <c r="O1635"/>
  <c r="N1583"/>
  <c r="N1679"/>
  <c r="N1621"/>
  <c r="O1594"/>
  <c r="N1589"/>
  <c r="N1646"/>
  <c r="N1578"/>
  <c r="N1674"/>
  <c r="N1643"/>
  <c r="N1652"/>
  <c r="N1600"/>
  <c r="N1640"/>
  <c r="O1627"/>
  <c r="N1658"/>
  <c r="N1584"/>
  <c r="N1592"/>
  <c r="O1569"/>
  <c r="O1631"/>
  <c r="N1581"/>
  <c r="N1675"/>
  <c r="N1601"/>
  <c r="N1607"/>
  <c r="N1678"/>
  <c r="O1628"/>
  <c r="O1604"/>
  <c r="N1566"/>
  <c r="N1667"/>
  <c r="O1587"/>
  <c r="N1587"/>
  <c r="O1591"/>
  <c r="O1641"/>
  <c r="O162" i="1"/>
  <c r="L162" s="1"/>
  <c r="O163"/>
  <c r="M161"/>
  <c r="L161"/>
  <c r="J160"/>
  <c r="V160"/>
  <c r="J161" l="1"/>
  <c r="V161"/>
  <c r="W161"/>
  <c r="M163"/>
  <c r="M164"/>
  <c r="L163"/>
  <c r="J163" l="1"/>
  <c r="V163"/>
  <c r="V162"/>
  <c r="W163"/>
  <c r="T1716" i="2"/>
  <c r="R1698"/>
  <c r="V1698" s="1"/>
  <c r="S1730"/>
  <c r="R1693"/>
  <c r="V1693" s="1"/>
  <c r="S1699"/>
  <c r="U1724"/>
  <c r="S1725"/>
  <c r="U1755"/>
  <c r="U1694"/>
  <c r="R1696"/>
  <c r="V1696" s="1"/>
  <c r="S1710"/>
  <c r="U1719"/>
  <c r="U1695"/>
  <c r="S1682"/>
  <c r="U1762"/>
  <c r="U1706"/>
  <c r="T1657"/>
  <c r="R1743"/>
  <c r="V1743" s="1"/>
  <c r="U1704"/>
  <c r="T1687"/>
  <c r="R1685"/>
  <c r="V1685" s="1"/>
  <c r="R1740"/>
  <c r="V1740" s="1"/>
  <c r="U1677"/>
  <c r="U1707"/>
  <c r="R1745"/>
  <c r="V1745" s="1"/>
  <c r="R1738"/>
  <c r="V1738" s="1"/>
  <c r="U1675"/>
  <c r="U1726"/>
  <c r="T1684"/>
  <c r="T1745"/>
  <c r="S1754"/>
  <c r="U1681"/>
  <c r="U1771"/>
  <c r="S1766"/>
  <c r="T1760"/>
  <c r="T1751"/>
  <c r="S1712"/>
  <c r="U1722"/>
  <c r="S1743"/>
  <c r="R1766"/>
  <c r="V1766" s="1"/>
  <c r="T1736"/>
  <c r="R1765"/>
  <c r="V1765" s="1"/>
  <c r="R1753"/>
  <c r="V1753" s="1"/>
  <c r="U1682"/>
  <c r="R1694"/>
  <c r="V1694" s="1"/>
  <c r="S1673"/>
  <c r="S1739"/>
  <c r="S1745"/>
  <c r="T1720"/>
  <c r="R1676"/>
  <c r="V1676" s="1"/>
  <c r="R1706"/>
  <c r="V1706" s="1"/>
  <c r="S1744"/>
  <c r="R1758"/>
  <c r="V1758" s="1"/>
  <c r="T1670"/>
  <c r="S1707"/>
  <c r="U1683"/>
  <c r="S1742"/>
  <c r="R1733"/>
  <c r="V1733" s="1"/>
  <c r="T1714"/>
  <c r="U1668"/>
  <c r="S1691"/>
  <c r="T1734"/>
  <c r="R1773"/>
  <c r="V1773" s="1"/>
  <c r="T1710"/>
  <c r="U1763"/>
  <c r="T1724"/>
  <c r="R1722"/>
  <c r="V1722" s="1"/>
  <c r="U1752"/>
  <c r="T1772"/>
  <c r="R1750"/>
  <c r="V1750" s="1"/>
  <c r="T1733"/>
  <c r="U1745"/>
  <c r="U1667"/>
  <c r="R1723"/>
  <c r="V1723" s="1"/>
  <c r="U1670"/>
  <c r="T1682"/>
  <c r="U1676"/>
  <c r="S1676"/>
  <c r="T1689"/>
  <c r="T1744"/>
  <c r="R1680"/>
  <c r="V1680" s="1"/>
  <c r="S1716"/>
  <c r="S1748"/>
  <c r="R1679"/>
  <c r="V1679" s="1"/>
  <c r="S1677"/>
  <c r="S1728"/>
  <c r="U1693"/>
  <c r="R1763"/>
  <c r="V1763" s="1"/>
  <c r="R1767"/>
  <c r="V1767" s="1"/>
  <c r="S1714"/>
  <c r="U1768"/>
  <c r="U1673"/>
  <c r="T1715"/>
  <c r="U1713"/>
  <c r="R1770"/>
  <c r="V1770" s="1"/>
  <c r="R1736"/>
  <c r="V1736" s="1"/>
  <c r="U1741"/>
  <c r="R1752"/>
  <c r="V1752" s="1"/>
  <c r="T1753"/>
  <c r="R1709"/>
  <c r="V1709" s="1"/>
  <c r="U1757"/>
  <c r="R1708"/>
  <c r="V1708" s="1"/>
  <c r="S1767"/>
  <c r="U1711"/>
  <c r="R1713"/>
  <c r="V1713" s="1"/>
  <c r="T1692"/>
  <c r="R1747"/>
  <c r="V1747" s="1"/>
  <c r="T1707"/>
  <c r="R1725"/>
  <c r="V1725" s="1"/>
  <c r="T1667"/>
  <c r="S1686"/>
  <c r="U1684"/>
  <c r="S1706"/>
  <c r="T1701"/>
  <c r="R1756"/>
  <c r="V1756" s="1"/>
  <c r="U1685"/>
  <c r="S1720"/>
  <c r="S1758"/>
  <c r="R1675"/>
  <c r="V1675" s="1"/>
  <c r="T1686"/>
  <c r="U1738"/>
  <c r="U1744"/>
  <c r="S1756"/>
  <c r="T1749"/>
  <c r="U1734"/>
  <c r="U1715"/>
  <c r="S1761"/>
  <c r="S1759"/>
  <c r="S1750"/>
  <c r="R1735"/>
  <c r="V1735" s="1"/>
  <c r="T1690"/>
  <c r="S1669"/>
  <c r="S1678"/>
  <c r="T1671"/>
  <c r="U1759"/>
  <c r="S1724"/>
  <c r="U1765"/>
  <c r="U1686"/>
  <c r="T1677"/>
  <c r="T1672"/>
  <c r="T1756"/>
  <c r="S1731"/>
  <c r="T1675"/>
  <c r="T1726"/>
  <c r="R1702"/>
  <c r="V1702" s="1"/>
  <c r="R1739"/>
  <c r="V1739" s="1"/>
  <c r="R1716"/>
  <c r="V1716" s="1"/>
  <c r="S1703"/>
  <c r="S1663"/>
  <c r="R1757"/>
  <c r="V1757" s="1"/>
  <c r="R1690"/>
  <c r="V1690" s="1"/>
  <c r="U1709"/>
  <c r="T1681"/>
  <c r="U1678"/>
  <c r="U1773"/>
  <c r="U1751"/>
  <c r="U1774"/>
  <c r="T1678"/>
  <c r="R1671"/>
  <c r="V1671" s="1"/>
  <c r="T1694"/>
  <c r="R1754"/>
  <c r="V1754" s="1"/>
  <c r="S1762"/>
  <c r="S1713"/>
  <c r="S1770"/>
  <c r="R1729"/>
  <c r="V1729" s="1"/>
  <c r="S1667"/>
  <c r="U1657"/>
  <c r="R1686"/>
  <c r="V1686" s="1"/>
  <c r="T1685"/>
  <c r="S1757"/>
  <c r="U1731"/>
  <c r="S1672"/>
  <c r="S1698"/>
  <c r="T1705"/>
  <c r="U1663"/>
  <c r="S1701"/>
  <c r="S1738"/>
  <c r="R1730"/>
  <c r="V1730" s="1"/>
  <c r="T1702"/>
  <c r="U1750"/>
  <c r="U1671"/>
  <c r="S1695"/>
  <c r="R1688"/>
  <c r="V1688" s="1"/>
  <c r="S1697"/>
  <c r="T1759"/>
  <c r="S1736"/>
  <c r="T1768"/>
  <c r="S1737"/>
  <c r="S1715"/>
  <c r="T1747"/>
  <c r="S1755"/>
  <c r="T1725"/>
  <c r="R1737"/>
  <c r="V1737" s="1"/>
  <c r="T1767"/>
  <c r="T1669"/>
  <c r="T1703"/>
  <c r="T1691"/>
  <c r="R1715"/>
  <c r="V1715" s="1"/>
  <c r="U1698"/>
  <c r="S1708"/>
  <c r="U1733"/>
  <c r="T1728"/>
  <c r="S1702"/>
  <c r="T1679"/>
  <c r="T1730"/>
  <c r="S1675"/>
  <c r="S1705"/>
  <c r="U1742"/>
  <c r="R1748"/>
  <c r="V1748" s="1"/>
  <c r="T1706"/>
  <c r="U1732"/>
  <c r="R1721"/>
  <c r="V1721" s="1"/>
  <c r="T1719"/>
  <c r="T1695"/>
  <c r="T1737"/>
  <c r="T1762"/>
  <c r="T1743"/>
  <c r="U1753"/>
  <c r="U1761"/>
  <c r="T1674"/>
  <c r="T1754"/>
  <c r="T1774"/>
  <c r="T1741"/>
  <c r="S1734"/>
  <c r="U1749"/>
  <c r="R1764"/>
  <c r="V1764" s="1"/>
  <c r="T1708"/>
  <c r="U1769"/>
  <c r="T1764"/>
  <c r="T1740"/>
  <c r="S1711"/>
  <c r="S1680"/>
  <c r="S1717"/>
  <c r="R1687"/>
  <c r="V1687" s="1"/>
  <c r="R1742"/>
  <c r="V1742" s="1"/>
  <c r="S1679"/>
  <c r="R1711"/>
  <c r="V1711" s="1"/>
  <c r="U1746"/>
  <c r="R1744"/>
  <c r="V1744" s="1"/>
  <c r="T1676"/>
  <c r="T1727"/>
  <c r="S1685"/>
  <c r="U1748"/>
  <c r="S1760"/>
  <c r="T1711"/>
  <c r="R1768"/>
  <c r="V1768" s="1"/>
  <c r="R1673"/>
  <c r="V1673" s="1"/>
  <c r="U1743"/>
  <c r="S1729"/>
  <c r="T1673"/>
  <c r="U1754"/>
  <c r="R1741"/>
  <c r="V1741" s="1"/>
  <c r="S1773"/>
  <c r="T1697"/>
  <c r="S1763"/>
  <c r="R1674"/>
  <c r="V1674" s="1"/>
  <c r="R1710"/>
  <c r="V1710" s="1"/>
  <c r="T1688"/>
  <c r="U1692"/>
  <c r="U1727"/>
  <c r="U1721"/>
  <c r="S1768"/>
  <c r="T1718"/>
  <c r="S1727"/>
  <c r="R1707"/>
  <c r="V1707" s="1"/>
  <c r="S1693"/>
  <c r="U1728"/>
  <c r="R1689"/>
  <c r="V1689" s="1"/>
  <c r="T1698"/>
  <c r="T1765"/>
  <c r="R1692"/>
  <c r="V1692" s="1"/>
  <c r="S1674"/>
  <c r="S1753"/>
  <c r="R1712"/>
  <c r="V1712" s="1"/>
  <c r="R1762"/>
  <c r="V1762" s="1"/>
  <c r="T1668"/>
  <c r="R1772"/>
  <c r="V1772" s="1"/>
  <c r="T1763"/>
  <c r="S1694"/>
  <c r="T1773"/>
  <c r="U1669"/>
  <c r="U1700"/>
  <c r="S1733"/>
  <c r="U1739"/>
  <c r="R1667"/>
  <c r="V1667" s="1"/>
  <c r="T1704"/>
  <c r="T1721"/>
  <c r="U1702"/>
  <c r="T1693"/>
  <c r="R1746"/>
  <c r="V1746" s="1"/>
  <c r="S1689"/>
  <c r="R1727"/>
  <c r="V1727" s="1"/>
  <c r="R1705"/>
  <c r="V1705" s="1"/>
  <c r="U1689"/>
  <c r="S1740"/>
  <c r="T1761"/>
  <c r="R1672"/>
  <c r="V1672" s="1"/>
  <c r="U1766"/>
  <c r="S1735"/>
  <c r="U1760"/>
  <c r="U1690"/>
  <c r="S1657"/>
  <c r="U1674"/>
  <c r="T1770"/>
  <c r="U1714"/>
  <c r="U1688"/>
  <c r="R1657"/>
  <c r="V1657" s="1"/>
  <c r="U1691"/>
  <c r="T1742"/>
  <c r="T1769"/>
  <c r="U1764"/>
  <c r="T1746"/>
  <c r="S1749"/>
  <c r="R1663"/>
  <c r="V1663" s="1"/>
  <c r="R1718"/>
  <c r="V1718" s="1"/>
  <c r="U1699"/>
  <c r="R1731"/>
  <c r="V1731" s="1"/>
  <c r="R1726"/>
  <c r="V1726" s="1"/>
  <c r="U1701"/>
  <c r="U1736"/>
  <c r="R1668"/>
  <c r="V1668" s="1"/>
  <c r="R1682"/>
  <c r="V1682" s="1"/>
  <c r="U1710"/>
  <c r="T1766"/>
  <c r="T1750"/>
  <c r="T1771"/>
  <c r="S1681"/>
  <c r="U1696"/>
  <c r="R1704"/>
  <c r="V1704" s="1"/>
  <c r="R1697"/>
  <c r="V1697" s="1"/>
  <c r="U1729"/>
  <c r="R1751"/>
  <c r="V1751" s="1"/>
  <c r="S1704"/>
  <c r="T1699"/>
  <c r="U1672"/>
  <c r="T1700"/>
  <c r="T1735"/>
  <c r="S1700"/>
  <c r="S1692"/>
  <c r="R1759"/>
  <c r="V1759" s="1"/>
  <c r="R1677"/>
  <c r="V1677" s="1"/>
  <c r="R1728"/>
  <c r="V1728" s="1"/>
  <c r="U1703"/>
  <c r="U1740"/>
  <c r="R1720"/>
  <c r="V1720" s="1"/>
  <c r="U1705"/>
  <c r="T1717"/>
  <c r="U1712"/>
  <c r="T1732"/>
  <c r="T1709"/>
  <c r="S1741"/>
  <c r="S1771"/>
  <c r="U1772"/>
  <c r="R1761"/>
  <c r="V1761" s="1"/>
  <c r="S1751"/>
  <c r="R1681"/>
  <c r="V1681" s="1"/>
  <c r="S1723"/>
  <c r="S1769"/>
  <c r="S1774"/>
  <c r="S1765"/>
  <c r="R1699"/>
  <c r="V1699" s="1"/>
  <c r="T1748"/>
  <c r="R1684"/>
  <c r="V1684" s="1"/>
  <c r="U1718"/>
  <c r="U1756"/>
  <c r="T1680"/>
  <c r="T1731"/>
  <c r="U1720"/>
  <c r="T1755"/>
  <c r="S1746"/>
  <c r="R1734"/>
  <c r="V1734" s="1"/>
  <c r="T1752"/>
  <c r="T1729"/>
  <c r="R1755"/>
  <c r="V1755" s="1"/>
  <c r="R1700"/>
  <c r="V1700" s="1"/>
  <c r="S1719"/>
  <c r="S1709"/>
  <c r="T1713"/>
  <c r="R1732"/>
  <c r="V1732" s="1"/>
  <c r="R1695"/>
  <c r="V1695" s="1"/>
  <c r="S1721"/>
  <c r="U1717"/>
  <c r="U1723"/>
  <c r="R1774"/>
  <c r="V1774" s="1"/>
  <c r="S1684"/>
  <c r="T1683"/>
  <c r="T1738"/>
  <c r="S1683"/>
  <c r="R1717"/>
  <c r="V1717" s="1"/>
  <c r="R1749"/>
  <c r="V1749" s="1"/>
  <c r="R1683"/>
  <c r="V1683" s="1"/>
  <c r="U1679"/>
  <c r="U1730"/>
  <c r="U1716"/>
  <c r="T1696"/>
  <c r="S1772"/>
  <c r="U1770"/>
  <c r="S1718"/>
  <c r="U1737"/>
  <c r="S1732"/>
  <c r="T1712"/>
  <c r="U1725"/>
  <c r="S1747"/>
  <c r="S1696"/>
  <c r="R1669"/>
  <c r="V1669" s="1"/>
  <c r="U1680"/>
  <c r="U1708"/>
  <c r="T1757"/>
  <c r="S1688"/>
  <c r="U1697"/>
  <c r="R1703"/>
  <c r="V1703" s="1"/>
  <c r="T1758"/>
  <c r="U1687"/>
  <c r="S1726"/>
  <c r="R1701"/>
  <c r="V1701" s="1"/>
  <c r="S1687"/>
  <c r="T1739"/>
  <c r="U1758"/>
  <c r="S1752"/>
  <c r="S1764"/>
  <c r="T1722"/>
  <c r="S1671"/>
  <c r="R1760"/>
  <c r="V1760" s="1"/>
  <c r="U1747"/>
  <c r="R1724"/>
  <c r="V1724" s="1"/>
  <c r="U1735"/>
  <c r="S1668"/>
  <c r="R1714"/>
  <c r="V1714" s="1"/>
  <c r="S1690"/>
  <c r="T1723"/>
  <c r="S1670"/>
  <c r="S1722"/>
  <c r="R1678"/>
  <c r="V1678" s="1"/>
  <c r="R1691"/>
  <c r="V1691" s="1"/>
  <c r="T1663"/>
  <c r="R1670"/>
  <c r="V1670" s="1"/>
  <c r="R1719"/>
  <c r="V1719" s="1"/>
  <c r="R1771"/>
  <c r="V1771" s="1"/>
  <c r="R1769"/>
  <c r="V1769" s="1"/>
  <c r="U1767"/>
  <c r="D164" i="1"/>
  <c r="J164"/>
  <c r="Q1667" i="2" s="1"/>
  <c r="G164" i="1"/>
  <c r="V164"/>
  <c r="W164"/>
  <c r="S1641" i="2"/>
  <c r="R1614"/>
  <c r="V1614" s="1"/>
  <c r="T1616"/>
  <c r="U1617"/>
  <c r="U1627"/>
  <c r="T1626"/>
  <c r="R1642"/>
  <c r="V1642" s="1"/>
  <c r="R1641"/>
  <c r="V1641" s="1"/>
  <c r="U1642"/>
  <c r="U1639"/>
  <c r="R1643"/>
  <c r="V1643" s="1"/>
  <c r="T1652"/>
  <c r="U1656"/>
  <c r="S1664"/>
  <c r="S1654"/>
  <c r="S1648"/>
  <c r="S1642"/>
  <c r="T1659"/>
  <c r="S1640"/>
  <c r="T1646"/>
  <c r="U1632"/>
  <c r="T1629"/>
  <c r="T1630"/>
  <c r="T1634"/>
  <c r="T1641"/>
  <c r="S1646"/>
  <c r="U1640"/>
  <c r="R1639"/>
  <c r="V1639" s="1"/>
  <c r="S1634"/>
  <c r="U1630"/>
  <c r="S1652"/>
  <c r="R1658"/>
  <c r="V1658" s="1"/>
  <c r="U1664"/>
  <c r="U1654"/>
  <c r="S1632"/>
  <c r="S1643"/>
  <c r="S1628"/>
  <c r="S1630"/>
  <c r="T1651"/>
  <c r="R1628"/>
  <c r="V1628" s="1"/>
  <c r="T1637"/>
  <c r="S1638"/>
  <c r="T1633"/>
  <c r="R1629"/>
  <c r="V1629" s="1"/>
  <c r="U1648"/>
  <c r="R1626"/>
  <c r="V1626" s="1"/>
  <c r="T1628"/>
  <c r="T1644"/>
  <c r="S1636"/>
  <c r="U1629"/>
  <c r="U1628"/>
  <c r="T1649"/>
  <c r="T1640"/>
  <c r="T1664"/>
  <c r="S1662"/>
  <c r="T1627"/>
  <c r="S1656"/>
  <c r="S1658"/>
  <c r="U1660"/>
  <c r="T1656"/>
  <c r="S1627"/>
  <c r="S1644"/>
  <c r="T1655"/>
  <c r="U1641"/>
  <c r="S1666"/>
  <c r="S1649"/>
  <c r="S1660"/>
  <c r="U1650"/>
  <c r="S1639"/>
  <c r="T1660"/>
  <c r="U1644"/>
  <c r="U1652"/>
  <c r="R1649"/>
  <c r="V1649" s="1"/>
  <c r="R1638"/>
  <c r="V1638" s="1"/>
  <c r="S1650"/>
  <c r="U1636"/>
  <c r="R1627"/>
  <c r="V1627" s="1"/>
  <c r="U1626"/>
  <c r="U1666"/>
  <c r="U1658"/>
  <c r="S1659"/>
  <c r="R1646"/>
  <c r="V1646" s="1"/>
  <c r="U1646"/>
  <c r="U1638"/>
  <c r="S1626"/>
  <c r="T1643"/>
  <c r="R1659"/>
  <c r="V1659" s="1"/>
  <c r="U1634"/>
  <c r="U1662"/>
  <c r="T1639"/>
  <c r="U1649"/>
  <c r="U1651"/>
  <c r="R1662"/>
  <c r="V1662" s="1"/>
  <c r="T1662"/>
  <c r="T1650"/>
  <c r="R1645"/>
  <c r="V1645" s="1"/>
  <c r="R1644"/>
  <c r="V1644" s="1"/>
  <c r="R1655"/>
  <c r="V1655" s="1"/>
  <c r="U1659"/>
  <c r="T1653"/>
  <c r="S1661"/>
  <c r="U1665"/>
  <c r="R1660"/>
  <c r="V1660" s="1"/>
  <c r="U1645"/>
  <c r="T1665"/>
  <c r="R1647"/>
  <c r="V1647" s="1"/>
  <c r="R1654"/>
  <c r="V1654" s="1"/>
  <c r="R1650"/>
  <c r="V1650" s="1"/>
  <c r="U1647"/>
  <c r="T1647"/>
  <c r="T1638"/>
  <c r="R1665"/>
  <c r="V1665" s="1"/>
  <c r="T1654"/>
  <c r="R1666"/>
  <c r="V1666" s="1"/>
  <c r="T1661"/>
  <c r="R1648"/>
  <c r="V1648" s="1"/>
  <c r="T1648"/>
  <c r="S1647"/>
  <c r="R1652"/>
  <c r="V1652" s="1"/>
  <c r="U1655"/>
  <c r="R1656"/>
  <c r="V1656" s="1"/>
  <c r="U1643"/>
  <c r="S1651"/>
  <c r="T1642"/>
  <c r="M1611" l="1"/>
  <c r="M1740"/>
  <c r="M1574"/>
  <c r="L1651"/>
  <c r="M1706"/>
  <c r="M1623"/>
  <c r="M1720"/>
  <c r="L1653"/>
  <c r="L1679"/>
  <c r="L1645"/>
  <c r="M1722"/>
  <c r="L1725"/>
  <c r="M1626"/>
  <c r="L1695"/>
  <c r="L1600"/>
  <c r="M1629"/>
  <c r="M1782"/>
  <c r="M1777"/>
  <c r="L1577"/>
  <c r="L1723"/>
  <c r="M1587"/>
  <c r="M1614"/>
  <c r="M1588"/>
  <c r="M1691"/>
  <c r="L1717"/>
  <c r="M1694"/>
  <c r="M1667"/>
  <c r="M1764"/>
  <c r="M1607"/>
  <c r="M1728"/>
  <c r="L1633"/>
  <c r="L1687"/>
  <c r="M1745"/>
  <c r="M1597"/>
  <c r="M1689"/>
  <c r="M1652"/>
  <c r="L1748"/>
  <c r="L1587"/>
  <c r="M1741"/>
  <c r="L1735"/>
  <c r="L1628"/>
  <c r="L1602"/>
  <c r="M1712"/>
  <c r="M1673"/>
  <c r="L1710"/>
  <c r="M1638"/>
  <c r="L1779"/>
  <c r="L1601"/>
  <c r="M1769"/>
  <c r="M1590"/>
  <c r="M1775"/>
  <c r="M1704"/>
  <c r="L1589"/>
  <c r="L1666"/>
  <c r="L1607"/>
  <c r="L1686"/>
  <c r="L1711"/>
  <c r="M1571"/>
  <c r="M1655"/>
  <c r="M1620"/>
  <c r="M1676"/>
  <c r="L1728"/>
  <c r="M1635"/>
  <c r="M1730"/>
  <c r="L1575"/>
  <c r="M1668"/>
  <c r="L1581"/>
  <c r="L1705"/>
  <c r="L1665"/>
  <c r="L1597"/>
  <c r="M1560"/>
  <c r="L1719"/>
  <c r="M1649"/>
  <c r="M1575"/>
  <c r="L1747"/>
  <c r="M1761"/>
  <c r="L1614"/>
  <c r="M1563"/>
  <c r="M1719"/>
  <c r="L1769"/>
  <c r="M1781"/>
  <c r="L1564"/>
  <c r="M1771"/>
  <c r="L1566"/>
  <c r="M1621"/>
  <c r="M1742"/>
  <c r="M1594"/>
  <c r="M1654"/>
  <c r="L1707"/>
  <c r="M1631"/>
  <c r="M1726"/>
  <c r="M1656"/>
  <c r="L1689"/>
  <c r="M1660"/>
  <c r="L1593"/>
  <c r="L1576"/>
  <c r="L1674"/>
  <c r="L1759"/>
  <c r="L1656"/>
  <c r="M1578"/>
  <c r="M1772"/>
  <c r="L1763"/>
  <c r="L1704"/>
  <c r="L1580"/>
  <c r="M1582"/>
  <c r="L1733"/>
  <c r="L1676"/>
  <c r="L1681"/>
  <c r="L1688"/>
  <c r="L1781"/>
  <c r="L1782"/>
  <c r="M1723"/>
  <c r="M1595"/>
  <c r="M1703"/>
  <c r="M1636"/>
  <c r="M1698"/>
  <c r="L1746"/>
  <c r="M1605"/>
  <c r="M1693"/>
  <c r="L1635"/>
  <c r="L1786"/>
  <c r="L1716"/>
  <c r="M1732"/>
  <c r="L1652"/>
  <c r="M1734"/>
  <c r="M1737"/>
  <c r="M1776"/>
  <c r="M1762"/>
  <c r="M1616"/>
  <c r="M1696"/>
  <c r="L1673"/>
  <c r="M1688"/>
  <c r="L1578"/>
  <c r="M1715"/>
  <c r="L1658"/>
  <c r="L1642"/>
  <c r="L1684"/>
  <c r="M1743"/>
  <c r="M1708"/>
  <c r="M1674"/>
  <c r="L1650"/>
  <c r="M1591"/>
  <c r="M1699"/>
  <c r="L1621"/>
  <c r="L1677"/>
  <c r="M1731"/>
  <c r="M1573"/>
  <c r="M1665"/>
  <c r="M1634"/>
  <c r="M1779"/>
  <c r="L1647"/>
  <c r="M1729"/>
  <c r="L1753"/>
  <c r="M1695"/>
  <c r="L1741"/>
  <c r="L1768"/>
  <c r="L1618"/>
  <c r="M1724"/>
  <c r="L1678"/>
  <c r="M1602"/>
  <c r="L1664"/>
  <c r="M1700"/>
  <c r="L1560"/>
  <c r="L1624"/>
  <c r="L1598"/>
  <c r="L1657"/>
  <c r="L1745"/>
  <c r="M1747"/>
  <c r="L1700"/>
  <c r="M1780"/>
  <c r="M1625"/>
  <c r="M1746"/>
  <c r="M1598"/>
  <c r="L1655"/>
  <c r="M1711"/>
  <c r="M1613"/>
  <c r="M1705"/>
  <c r="L1649"/>
  <c r="L1744"/>
  <c r="M1584"/>
  <c r="M1784"/>
  <c r="M1681"/>
  <c r="L1608"/>
  <c r="L1567"/>
  <c r="M1755"/>
  <c r="L1734"/>
  <c r="L1640"/>
  <c r="L1574"/>
  <c r="M1622"/>
  <c r="M1642"/>
  <c r="L1660"/>
  <c r="L1610"/>
  <c r="M1599"/>
  <c r="M1707"/>
  <c r="L1637"/>
  <c r="L1699"/>
  <c r="M1749"/>
  <c r="M1609"/>
  <c r="M1701"/>
  <c r="M1640"/>
  <c r="L1720"/>
  <c r="M1580"/>
  <c r="M1714"/>
  <c r="L1634"/>
  <c r="L1722"/>
  <c r="L1585"/>
  <c r="M1760"/>
  <c r="L1737"/>
  <c r="L1668"/>
  <c r="M1639"/>
  <c r="M1596"/>
  <c r="M1646"/>
  <c r="L1644"/>
  <c r="L1732"/>
  <c r="L1783"/>
  <c r="L1565"/>
  <c r="M1627"/>
  <c r="L1636"/>
  <c r="M1579"/>
  <c r="M1677"/>
  <c r="M1624"/>
  <c r="M1680"/>
  <c r="M1739"/>
  <c r="M1581"/>
  <c r="M1675"/>
  <c r="L1613"/>
  <c r="L1750"/>
  <c r="M1692"/>
  <c r="L1583"/>
  <c r="M1783"/>
  <c r="M1562"/>
  <c r="L1775"/>
  <c r="L1754"/>
  <c r="M1785"/>
  <c r="L1562"/>
  <c r="L1729"/>
  <c r="L1615"/>
  <c r="L1570"/>
  <c r="M1770"/>
  <c r="M1671"/>
  <c r="L1599"/>
  <c r="M1735"/>
  <c r="L1630"/>
  <c r="L1571"/>
  <c r="L1721"/>
  <c r="L1654"/>
  <c r="M1628"/>
  <c r="M1765"/>
  <c r="L1667"/>
  <c r="L1579"/>
  <c r="L1641"/>
  <c r="L1749"/>
  <c r="M1577"/>
  <c r="M1663"/>
  <c r="M1606"/>
  <c r="M1662"/>
  <c r="M1717"/>
  <c r="M1645"/>
  <c r="M1738"/>
  <c r="M1612"/>
  <c r="L1736"/>
  <c r="M1682"/>
  <c r="L1573"/>
  <c r="M1767"/>
  <c r="L1774"/>
  <c r="L1568"/>
  <c r="L1761"/>
  <c r="L1572"/>
  <c r="L1784"/>
  <c r="L1622"/>
  <c r="M1592"/>
  <c r="L1776"/>
  <c r="M1751"/>
  <c r="L1743"/>
  <c r="L1751"/>
  <c r="L1638"/>
  <c r="L1639"/>
  <c r="L1764"/>
  <c r="L1698"/>
  <c r="M1657"/>
  <c r="L1702"/>
  <c r="L1606"/>
  <c r="L1757"/>
  <c r="M1710"/>
  <c r="M1601"/>
  <c r="M1718"/>
  <c r="M1564"/>
  <c r="M1648"/>
  <c r="M1702"/>
  <c r="L1756"/>
  <c r="M1593"/>
  <c r="M1683"/>
  <c r="L1631"/>
  <c r="L1770"/>
  <c r="L1758"/>
  <c r="L1623"/>
  <c r="M1766"/>
  <c r="M1709"/>
  <c r="M1768"/>
  <c r="L1771"/>
  <c r="L1755"/>
  <c r="M1697"/>
  <c r="L1604"/>
  <c r="L1670"/>
  <c r="L1620"/>
  <c r="M1713"/>
  <c r="L1584"/>
  <c r="L1669"/>
  <c r="M1618"/>
  <c r="L1691"/>
  <c r="L1727"/>
  <c r="M1585"/>
  <c r="M1685"/>
  <c r="L1625"/>
  <c r="M1684"/>
  <c r="L1740"/>
  <c r="M1583"/>
  <c r="M1679"/>
  <c r="M1630"/>
  <c r="M1763"/>
  <c r="M1733"/>
  <c r="L1619"/>
  <c r="L1772"/>
  <c r="M1750"/>
  <c r="M1778"/>
  <c r="M1603"/>
  <c r="L1785"/>
  <c r="L1582"/>
  <c r="L1760"/>
  <c r="L1646"/>
  <c r="L1713"/>
  <c r="L1629"/>
  <c r="L1682"/>
  <c r="M1617"/>
  <c r="M1670"/>
  <c r="L1739"/>
  <c r="M1565"/>
  <c r="M1637"/>
  <c r="M1610"/>
  <c r="L1663"/>
  <c r="L1718"/>
  <c r="M1647"/>
  <c r="M1744"/>
  <c r="L1605"/>
  <c r="L1709"/>
  <c r="L1661"/>
  <c r="L1730"/>
  <c r="L1693"/>
  <c r="L1701"/>
  <c r="M1566"/>
  <c r="M1752"/>
  <c r="M1576"/>
  <c r="L1752"/>
  <c r="L1626"/>
  <c r="L1697"/>
  <c r="M1773"/>
  <c r="L1595"/>
  <c r="M1600"/>
  <c r="M1643"/>
  <c r="M1736"/>
  <c r="L1591"/>
  <c r="L1766"/>
  <c r="M1641"/>
  <c r="L1632"/>
  <c r="L1672"/>
  <c r="M1561"/>
  <c r="M1633"/>
  <c r="M1756"/>
  <c r="M1570"/>
  <c r="M1650"/>
  <c r="L1703"/>
  <c r="M1619"/>
  <c r="M1716"/>
  <c r="M1604"/>
  <c r="M1690"/>
  <c r="L1617"/>
  <c r="L1726"/>
  <c r="L1683"/>
  <c r="L1675"/>
  <c r="L1563"/>
  <c r="L1762"/>
  <c r="L1714"/>
  <c r="L1612"/>
  <c r="L1694"/>
  <c r="M1754"/>
  <c r="L1659"/>
  <c r="L1767"/>
  <c r="M1753"/>
  <c r="M1658"/>
  <c r="M1589"/>
  <c r="M1687"/>
  <c r="M1632"/>
  <c r="L1685"/>
  <c r="L1742"/>
  <c r="M1569"/>
  <c r="M1661"/>
  <c r="M1758"/>
  <c r="L1609"/>
  <c r="L1724"/>
  <c r="M1672"/>
  <c r="L1569"/>
  <c r="M1757"/>
  <c r="M1644"/>
  <c r="M1586"/>
  <c r="L1777"/>
  <c r="L1586"/>
  <c r="L1787"/>
  <c r="M1659"/>
  <c r="L1778"/>
  <c r="M1786"/>
  <c r="L1773"/>
  <c r="L1690"/>
  <c r="M1678"/>
  <c r="M1774"/>
  <c r="L1731"/>
  <c r="L1594"/>
  <c r="M1568"/>
  <c r="M1669"/>
  <c r="L1662"/>
  <c r="L1671"/>
  <c r="L1592"/>
  <c r="L1765"/>
  <c r="L1680"/>
  <c r="M1759"/>
  <c r="L1708"/>
  <c r="M1567"/>
  <c r="M1651"/>
  <c r="L1611"/>
  <c r="M1666"/>
  <c r="M1727"/>
  <c r="M1653"/>
  <c r="M1748"/>
  <c r="M1608"/>
  <c r="L1712"/>
  <c r="M1664"/>
  <c r="M1721"/>
  <c r="L1738"/>
  <c r="L1627"/>
  <c r="L1588"/>
  <c r="L1561"/>
  <c r="M1615"/>
  <c r="L1603"/>
  <c r="L1715"/>
  <c r="M1725"/>
  <c r="L1616"/>
  <c r="L1696"/>
  <c r="L1780"/>
  <c r="L1648"/>
  <c r="M1787"/>
  <c r="L1590"/>
  <c r="M1572"/>
  <c r="M1686"/>
  <c r="L1706"/>
  <c r="L1643"/>
  <c r="L1596"/>
  <c r="L1692"/>
  <c r="Q1688"/>
  <c r="Q1705"/>
  <c r="Q1724"/>
  <c r="Q1726"/>
  <c r="Q1694"/>
  <c r="Q1728"/>
  <c r="Q1693"/>
  <c r="Q1718"/>
  <c r="Q1700"/>
  <c r="Q1708"/>
  <c r="Q1679"/>
  <c r="Q1743"/>
  <c r="Q1769"/>
  <c r="Q1702"/>
  <c r="Q1671"/>
  <c r="Q1710"/>
  <c r="Q1678"/>
  <c r="Q1748"/>
  <c r="Q1737"/>
  <c r="Q1766"/>
  <c r="Q1746"/>
  <c r="Q1742"/>
  <c r="Q1709"/>
  <c r="Q1703"/>
  <c r="Q1734"/>
  <c r="Q1727"/>
  <c r="Q1717"/>
  <c r="Q1759"/>
  <c r="Q1731"/>
  <c r="Q1711"/>
  <c r="Q1716"/>
  <c r="Q1760"/>
  <c r="Q1761"/>
  <c r="Q1699"/>
  <c r="Q1695"/>
  <c r="Q1701"/>
  <c r="Q1768"/>
  <c r="Q1674"/>
  <c r="Q1681"/>
  <c r="Q1689"/>
  <c r="Q1733"/>
  <c r="Q1721"/>
  <c r="Q1715"/>
  <c r="Q1756"/>
  <c r="Q1747"/>
  <c r="Q1669"/>
  <c r="Q1682"/>
  <c r="Q1774"/>
  <c r="Q1673"/>
  <c r="Q1764"/>
  <c r="Q1670"/>
  <c r="Q1675"/>
  <c r="Q1713"/>
  <c r="Q1757"/>
  <c r="Q1730"/>
  <c r="Q1732"/>
  <c r="Q1677"/>
  <c r="Q1758"/>
  <c r="Q1735"/>
  <c r="Q1767"/>
  <c r="Q1744"/>
  <c r="Q1729"/>
  <c r="Q1720"/>
  <c r="Q1755"/>
  <c r="Q1754"/>
  <c r="Q1697"/>
  <c r="Q1706"/>
  <c r="Q1690"/>
  <c r="Q1676"/>
  <c r="Q1723"/>
  <c r="Q1722"/>
  <c r="Q1765"/>
  <c r="Q1741"/>
  <c r="Q1740"/>
  <c r="Q1714"/>
  <c r="Q1753"/>
  <c r="Q1739"/>
  <c r="Q1692"/>
  <c r="Q1745"/>
  <c r="Q1683"/>
  <c r="Q1770"/>
  <c r="Q1773"/>
  <c r="Q1698"/>
  <c r="Q1738"/>
  <c r="Q1749"/>
  <c r="Q1707"/>
  <c r="Q1762"/>
  <c r="Q1687"/>
  <c r="Q1752"/>
  <c r="Q1668"/>
  <c r="Q1704"/>
  <c r="Q1685"/>
  <c r="Q1771"/>
  <c r="Q1725"/>
  <c r="Q1680"/>
  <c r="Q1684"/>
  <c r="Q1712"/>
  <c r="Q1763"/>
  <c r="Q1691"/>
  <c r="Q1719"/>
  <c r="Q1750"/>
  <c r="Q1751"/>
  <c r="Q1672"/>
  <c r="Q1696"/>
  <c r="Q1686"/>
  <c r="Q1736"/>
  <c r="Q1772"/>
  <c r="N1738"/>
  <c r="O1752"/>
  <c r="N1710"/>
  <c r="O1735"/>
  <c r="N1683"/>
  <c r="O1705"/>
  <c r="N1695"/>
  <c r="O1732"/>
  <c r="N1729"/>
  <c r="N1721"/>
  <c r="O1753"/>
  <c r="N1725"/>
  <c r="N1755"/>
  <c r="N1745"/>
  <c r="O1775"/>
  <c r="O1734"/>
  <c r="O1690"/>
  <c r="N1768"/>
  <c r="O1698"/>
  <c r="O1722"/>
  <c r="N1767"/>
  <c r="N1728"/>
  <c r="N1741"/>
  <c r="O1724"/>
  <c r="O1733"/>
  <c r="O1759"/>
  <c r="O1780"/>
  <c r="O1773"/>
  <c r="O1719"/>
  <c r="N1681"/>
  <c r="O1747"/>
  <c r="N1752"/>
  <c r="O1743"/>
  <c r="O1699"/>
  <c r="O1750"/>
  <c r="O1762"/>
  <c r="O1764"/>
  <c r="N1769"/>
  <c r="O1684"/>
  <c r="O1736"/>
  <c r="N1705"/>
  <c r="N1699"/>
  <c r="N1709"/>
  <c r="O1700"/>
  <c r="O1740"/>
  <c r="N1706"/>
  <c r="N1687"/>
  <c r="O1715"/>
  <c r="N1740"/>
  <c r="N1779"/>
  <c r="N1733"/>
  <c r="O1774"/>
  <c r="N1735"/>
  <c r="N1744"/>
  <c r="O1708"/>
  <c r="O1727"/>
  <c r="O1768"/>
  <c r="O1694"/>
  <c r="O1741"/>
  <c r="O1687"/>
  <c r="O1689"/>
  <c r="O1713"/>
  <c r="O1683"/>
  <c r="N1696"/>
  <c r="N1719"/>
  <c r="O1770"/>
  <c r="N1717"/>
  <c r="O1744"/>
  <c r="O1749"/>
  <c r="N1780"/>
  <c r="N1759"/>
  <c r="O1704"/>
  <c r="O1718"/>
  <c r="O1729"/>
  <c r="N1692"/>
  <c r="O1746"/>
  <c r="O1758"/>
  <c r="N1763"/>
  <c r="O1712"/>
  <c r="N1693"/>
  <c r="N1753"/>
  <c r="N1700"/>
  <c r="O1707"/>
  <c r="N1685"/>
  <c r="O1760"/>
  <c r="N1698"/>
  <c r="N1764"/>
  <c r="N1690"/>
  <c r="N1766"/>
  <c r="N1708"/>
  <c r="N1760"/>
  <c r="O1691"/>
  <c r="O1726"/>
  <c r="N1724"/>
  <c r="N1742"/>
  <c r="O1693"/>
  <c r="O1772"/>
  <c r="N1734"/>
  <c r="O1716"/>
  <c r="O1754"/>
  <c r="N1748"/>
  <c r="O1778"/>
  <c r="N1712"/>
  <c r="O1686"/>
  <c r="O1695"/>
  <c r="N1686"/>
  <c r="N1758"/>
  <c r="O1745"/>
  <c r="N1756"/>
  <c r="O1681"/>
  <c r="O1765"/>
  <c r="N1774"/>
  <c r="O1769"/>
  <c r="N1730"/>
  <c r="O1771"/>
  <c r="N1739"/>
  <c r="O1711"/>
  <c r="N1747"/>
  <c r="O1685"/>
  <c r="N1703"/>
  <c r="N1732"/>
  <c r="O1779"/>
  <c r="O1720"/>
  <c r="N1762"/>
  <c r="N1704"/>
  <c r="N1757"/>
  <c r="O1738"/>
  <c r="N1746"/>
  <c r="N1713"/>
  <c r="N1715"/>
  <c r="O1723"/>
  <c r="O1731"/>
  <c r="O1737"/>
  <c r="N1714"/>
  <c r="O1717"/>
  <c r="N1694"/>
  <c r="O1706"/>
  <c r="N1773"/>
  <c r="N1736"/>
  <c r="O1751"/>
  <c r="N1772"/>
  <c r="O1701"/>
  <c r="N1770"/>
  <c r="N1711"/>
  <c r="N1716"/>
  <c r="O1714"/>
  <c r="O1767"/>
  <c r="O1739"/>
  <c r="O1710"/>
  <c r="O1757"/>
  <c r="N1684"/>
  <c r="N1726"/>
  <c r="O1755"/>
  <c r="O1725"/>
  <c r="N1775"/>
  <c r="N1737"/>
  <c r="O1721"/>
  <c r="N1702"/>
  <c r="N1720"/>
  <c r="N1754"/>
  <c r="N1697"/>
  <c r="O1682"/>
  <c r="O1692"/>
  <c r="N1689"/>
  <c r="O1702"/>
  <c r="O1697"/>
  <c r="N1761"/>
  <c r="N1771"/>
  <c r="O1742"/>
  <c r="N1727"/>
  <c r="N1707"/>
  <c r="N1743"/>
  <c r="O1709"/>
  <c r="O1763"/>
  <c r="N1723"/>
  <c r="O1728"/>
  <c r="N1701"/>
  <c r="O1688"/>
  <c r="O1748"/>
  <c r="O1703"/>
  <c r="O1756"/>
  <c r="N1718"/>
  <c r="N1688"/>
  <c r="O1761"/>
  <c r="O1766"/>
  <c r="N1778"/>
  <c r="N1682"/>
  <c r="N1765"/>
  <c r="O1730"/>
  <c r="N1749"/>
  <c r="O1696"/>
  <c r="N1751"/>
  <c r="N1750"/>
  <c r="N1722"/>
  <c r="N1731"/>
  <c r="N1691"/>
</calcChain>
</file>

<file path=xl/sharedStrings.xml><?xml version="1.0" encoding="utf-8"?>
<sst xmlns="http://schemas.openxmlformats.org/spreadsheetml/2006/main" count="3317" uniqueCount="2100">
  <si>
    <t>steps per apotome</t>
  </si>
  <si>
    <t>cents per step</t>
  </si>
  <si>
    <t>Comma</t>
  </si>
  <si>
    <t>Steps</t>
  </si>
  <si>
    <t>Cents</t>
  </si>
  <si>
    <t>Name</t>
  </si>
  <si>
    <t>Ratio</t>
  </si>
  <si>
    <t>1n</t>
  </si>
  <si>
    <t>|'</t>
  </si>
  <si>
    <t>455n</t>
  </si>
  <si>
    <t>|''</t>
  </si>
  <si>
    <t>65:77n</t>
  </si>
  <si>
    <t>5:19n</t>
  </si>
  <si>
    <t>'|</t>
  </si>
  <si>
    <t>5s</t>
  </si>
  <si>
    <t>'|'</t>
  </si>
  <si>
    <t>77s</t>
  </si>
  <si>
    <t>)|.</t>
  </si>
  <si>
    <t>2100875s</t>
  </si>
  <si>
    <t>)|</t>
  </si>
  <si>
    <t>19s</t>
  </si>
  <si>
    <t>49:55s</t>
  </si>
  <si>
    <t>)|''</t>
  </si>
  <si>
    <t>385k</t>
  </si>
  <si>
    <t>|(..</t>
  </si>
  <si>
    <t>11:13k</t>
  </si>
  <si>
    <t>|(.</t>
  </si>
  <si>
    <t>605k</t>
  </si>
  <si>
    <t>|(</t>
  </si>
  <si>
    <t>5:7k</t>
  </si>
  <si>
    <t>|('</t>
  </si>
  <si>
    <t>85k</t>
  </si>
  <si>
    <t>'|(.</t>
  </si>
  <si>
    <t>121k</t>
  </si>
  <si>
    <t>'|(</t>
  </si>
  <si>
    <t>7:25k</t>
  </si>
  <si>
    <t>'|('</t>
  </si>
  <si>
    <t>343k</t>
  </si>
  <si>
    <t>~|</t>
  </si>
  <si>
    <t>17k</t>
  </si>
  <si>
    <t>)|(.</t>
  </si>
  <si>
    <t>5:143k</t>
  </si>
  <si>
    <t>)|(</t>
  </si>
  <si>
    <t>7:11k</t>
  </si>
  <si>
    <t>)|('</t>
  </si>
  <si>
    <t>78125k</t>
  </si>
  <si>
    <t>)|(''</t>
  </si>
  <si>
    <t>5:161k</t>
  </si>
  <si>
    <t>')|(.</t>
  </si>
  <si>
    <t>17:19k</t>
  </si>
  <si>
    <t>')|(</t>
  </si>
  <si>
    <t>11:35k</t>
  </si>
  <si>
    <t>)~|</t>
  </si>
  <si>
    <t>143C</t>
  </si>
  <si>
    <t>.~|(</t>
  </si>
  <si>
    <t>5:17C</t>
  </si>
  <si>
    <t>.~|('</t>
  </si>
  <si>
    <t>1715C</t>
  </si>
  <si>
    <t>~|(..</t>
  </si>
  <si>
    <t>7:125C</t>
  </si>
  <si>
    <t>~|(.</t>
  </si>
  <si>
    <t>245C</t>
  </si>
  <si>
    <t>~|(</t>
  </si>
  <si>
    <t>17C</t>
  </si>
  <si>
    <t>~|('</t>
  </si>
  <si>
    <t>7:143C</t>
  </si>
  <si>
    <t>|~..</t>
  </si>
  <si>
    <t>7:25C</t>
  </si>
  <si>
    <t>|~.</t>
  </si>
  <si>
    <t>1225C</t>
  </si>
  <si>
    <t>|~</t>
  </si>
  <si>
    <t>23C</t>
  </si>
  <si>
    <t>|~'</t>
  </si>
  <si>
    <t>169C</t>
  </si>
  <si>
    <t>~~|</t>
  </si>
  <si>
    <t>11:49C</t>
  </si>
  <si>
    <t>~~|'</t>
  </si>
  <si>
    <t>95C</t>
  </si>
  <si>
    <t>~~|''</t>
  </si>
  <si>
    <t>115C</t>
  </si>
  <si>
    <t>7:17C</t>
  </si>
  <si>
    <t>./|.</t>
  </si>
  <si>
    <t>2401C</t>
  </si>
  <si>
    <t>./|</t>
  </si>
  <si>
    <t>25C</t>
  </si>
  <si>
    <t>)|~</t>
  </si>
  <si>
    <t>19C</t>
  </si>
  <si>
    <t>/|..</t>
  </si>
  <si>
    <t>19:169C</t>
  </si>
  <si>
    <t>/|.</t>
  </si>
  <si>
    <t>91C</t>
  </si>
  <si>
    <t>/|</t>
  </si>
  <si>
    <t>5C</t>
  </si>
  <si>
    <t>/|'</t>
  </si>
  <si>
    <t>/|''</t>
  </si>
  <si>
    <t>13:25C</t>
  </si>
  <si>
    <t>19:25C</t>
  </si>
  <si>
    <t>'/|</t>
  </si>
  <si>
    <t>1C</t>
  </si>
  <si>
    <t>'/|'</t>
  </si>
  <si>
    <t>5:77C</t>
  </si>
  <si>
    <t>)/|.</t>
  </si>
  <si>
    <t>5:187C</t>
  </si>
  <si>
    <t>)/|</t>
  </si>
  <si>
    <t>5:19C</t>
  </si>
  <si>
    <t>.|).</t>
  </si>
  <si>
    <t>13C</t>
  </si>
  <si>
    <t>.|)</t>
  </si>
  <si>
    <t>17:23C</t>
  </si>
  <si>
    <t>77C</t>
  </si>
  <si>
    <t>|)..</t>
  </si>
  <si>
    <t>|).</t>
  </si>
  <si>
    <t>65C</t>
  </si>
  <si>
    <t>|)</t>
  </si>
  <si>
    <t>7C</t>
  </si>
  <si>
    <t>|)'</t>
  </si>
  <si>
    <t>|)''</t>
  </si>
  <si>
    <t>11:13C</t>
  </si>
  <si>
    <t>'|).</t>
  </si>
  <si>
    <t>'|)</t>
  </si>
  <si>
    <t>5:7C</t>
  </si>
  <si>
    <t>5:343C</t>
  </si>
  <si>
    <t>85C</t>
  </si>
  <si>
    <t>)|)</t>
  </si>
  <si>
    <t>7:19C</t>
  </si>
  <si>
    <t>7:55C</t>
  </si>
  <si>
    <t>|\</t>
  </si>
  <si>
    <t>55C</t>
  </si>
  <si>
    <t>|\'</t>
  </si>
  <si>
    <t>19:49C</t>
  </si>
  <si>
    <t>(|.</t>
  </si>
  <si>
    <t>(|</t>
  </si>
  <si>
    <t>7:11C</t>
  </si>
  <si>
    <t>(|'</t>
  </si>
  <si>
    <t>13:17S</t>
  </si>
  <si>
    <t>(|''</t>
  </si>
  <si>
    <t>17:25S</t>
  </si>
  <si>
    <t>847S</t>
  </si>
  <si>
    <t>~|).</t>
  </si>
  <si>
    <t>25:49S</t>
  </si>
  <si>
    <t>~|)</t>
  </si>
  <si>
    <t>49S</t>
  </si>
  <si>
    <t>~|)'</t>
  </si>
  <si>
    <t>119S</t>
  </si>
  <si>
    <t>11:23S</t>
  </si>
  <si>
    <t>.(|(</t>
  </si>
  <si>
    <t>11S</t>
  </si>
  <si>
    <t>245S</t>
  </si>
  <si>
    <t>/|~</t>
  </si>
  <si>
    <t>5:23S</t>
  </si>
  <si>
    <t>(|(..</t>
  </si>
  <si>
    <t>7:13S</t>
  </si>
  <si>
    <t>(|(.</t>
  </si>
  <si>
    <t>11:17S</t>
  </si>
  <si>
    <t>(|(</t>
  </si>
  <si>
    <t>5:11S</t>
  </si>
  <si>
    <t>(|('</t>
  </si>
  <si>
    <t>~|\</t>
  </si>
  <si>
    <t>23S</t>
  </si>
  <si>
    <t>.//|.</t>
  </si>
  <si>
    <t>11:19S</t>
  </si>
  <si>
    <t>.//|</t>
  </si>
  <si>
    <t>125S</t>
  </si>
  <si>
    <t>.//|'</t>
  </si>
  <si>
    <t>35S</t>
  </si>
  <si>
    <t>//|..</t>
  </si>
  <si>
    <t>7:17S</t>
  </si>
  <si>
    <t>//|.</t>
  </si>
  <si>
    <t>2401S</t>
  </si>
  <si>
    <t>//|</t>
  </si>
  <si>
    <t>25S</t>
  </si>
  <si>
    <t>//|'</t>
  </si>
  <si>
    <t>175S</t>
  </si>
  <si>
    <t>7:23S</t>
  </si>
  <si>
    <t>//|''</t>
  </si>
  <si>
    <t>5:13S</t>
  </si>
  <si>
    <t>'//|.</t>
  </si>
  <si>
    <t>187S</t>
  </si>
  <si>
    <t>'//|</t>
  </si>
  <si>
    <t>13:19S</t>
  </si>
  <si>
    <t>'//|'</t>
  </si>
  <si>
    <t>25:77M</t>
  </si>
  <si>
    <t>7:115M</t>
  </si>
  <si>
    <t>13:25M</t>
  </si>
  <si>
    <t>5:13M</t>
  </si>
  <si>
    <t>7:23M</t>
  </si>
  <si>
    <t>175M</t>
  </si>
  <si>
    <t>37M</t>
  </si>
  <si>
    <t>/|)..</t>
  </si>
  <si>
    <t>/|).</t>
  </si>
  <si>
    <t>13M</t>
  </si>
  <si>
    <t>/|)</t>
  </si>
  <si>
    <t>35M</t>
  </si>
  <si>
    <t>/|)'</t>
  </si>
  <si>
    <t>125M</t>
  </si>
  <si>
    <t>(|~</t>
  </si>
  <si>
    <t>11:19M</t>
  </si>
  <si>
    <t>17:35M</t>
  </si>
  <si>
    <t>'/|)</t>
  </si>
  <si>
    <t>7M</t>
  </si>
  <si>
    <t>'/|)'</t>
  </si>
  <si>
    <t>625M</t>
  </si>
  <si>
    <t>./|\</t>
  </si>
  <si>
    <t>5:11M</t>
  </si>
  <si>
    <t>./|\'</t>
  </si>
  <si>
    <t>11:17M</t>
  </si>
  <si>
    <t>/|\..</t>
  </si>
  <si>
    <t>5:23M</t>
  </si>
  <si>
    <t>/|\.</t>
  </si>
  <si>
    <t>/|\</t>
  </si>
  <si>
    <t>11M</t>
  </si>
  <si>
    <t>/|\'</t>
  </si>
  <si>
    <t>(/|</t>
  </si>
  <si>
    <t>49M</t>
  </si>
  <si>
    <t>(/|'</t>
  </si>
  <si>
    <t>31M</t>
  </si>
  <si>
    <t>'/|\</t>
  </si>
  <si>
    <t>.(|)</t>
  </si>
  <si>
    <t>55M</t>
  </si>
  <si>
    <t>17:25M</t>
  </si>
  <si>
    <t>5:49M</t>
  </si>
  <si>
    <t>5:49L</t>
  </si>
  <si>
    <t>595L</t>
  </si>
  <si>
    <t>19:49L</t>
  </si>
  <si>
    <t>55L</t>
  </si>
  <si>
    <t>|\).</t>
  </si>
  <si>
    <t>5:29L</t>
  </si>
  <si>
    <t>7:55L</t>
  </si>
  <si>
    <t>|\)</t>
  </si>
  <si>
    <t>49L</t>
  </si>
  <si>
    <t>7:19L</t>
  </si>
  <si>
    <t>11:85L</t>
  </si>
  <si>
    <t>(|)</t>
  </si>
  <si>
    <t>11L</t>
  </si>
  <si>
    <t>'(|).</t>
  </si>
  <si>
    <t>11:17L</t>
  </si>
  <si>
    <t>'(|)</t>
  </si>
  <si>
    <t>5:11L</t>
  </si>
  <si>
    <t>.(|\.</t>
  </si>
  <si>
    <t>625L</t>
  </si>
  <si>
    <t>.(|\</t>
  </si>
  <si>
    <t>7L</t>
  </si>
  <si>
    <t>65L</t>
  </si>
  <si>
    <t>|\\</t>
  </si>
  <si>
    <t>11:19L</t>
  </si>
  <si>
    <t>(|\.</t>
  </si>
  <si>
    <t>125L</t>
  </si>
  <si>
    <t>(|\</t>
  </si>
  <si>
    <t>35L</t>
  </si>
  <si>
    <t>(|\'</t>
  </si>
  <si>
    <t>13L</t>
  </si>
  <si>
    <t>5:77L</t>
  </si>
  <si>
    <t>77:125L</t>
  </si>
  <si>
    <t>13:25L</t>
  </si>
  <si>
    <t>Symbol</t>
  </si>
  <si>
    <t>Herculean</t>
  </si>
  <si>
    <t>Promethean</t>
  </si>
  <si>
    <t>Athenian</t>
  </si>
  <si>
    <t>Deg.</t>
  </si>
  <si>
    <t>Olympian</t>
  </si>
  <si>
    <t>5:13L</t>
  </si>
  <si>
    <t>(|\''</t>
  </si>
  <si>
    <t>29S</t>
  </si>
  <si>
    <t>5:17S</t>
  </si>
  <si>
    <t>7:13C</t>
  </si>
  <si>
    <t>5:77M</t>
  </si>
  <si>
    <t>47S</t>
  </si>
  <si>
    <t>11:25C</t>
  </si>
  <si>
    <t>11:35C</t>
  </si>
  <si>
    <t>43C</t>
  </si>
  <si>
    <t>25:49M</t>
  </si>
  <si>
    <t>31S</t>
  </si>
  <si>
    <t>13:35C</t>
  </si>
  <si>
    <t>3125C</t>
  </si>
  <si>
    <t>11:31C</t>
  </si>
  <si>
    <t>37S</t>
  </si>
  <si>
    <t>5:29M</t>
  </si>
  <si>
    <t>11:37k</t>
  </si>
  <si>
    <t>13:23k</t>
  </si>
  <si>
    <t>53C</t>
  </si>
  <si>
    <t>121C</t>
  </si>
  <si>
    <t>11:31k</t>
  </si>
  <si>
    <t>5:37S</t>
  </si>
  <si>
    <t>17:31S</t>
  </si>
  <si>
    <t>'|)'</t>
  </si>
  <si>
    <t>49:125C</t>
  </si>
  <si>
    <t>5:31M</t>
  </si>
  <si>
    <t>15625C</t>
  </si>
  <si>
    <t>23:31C</t>
  </si>
  <si>
    <t>25:343C</t>
  </si>
  <si>
    <t>91s</t>
  </si>
  <si>
    <t>15625k</t>
  </si>
  <si>
    <t>49:125S</t>
  </si>
  <si>
    <t>875C</t>
  </si>
  <si>
    <t>59M</t>
  </si>
  <si>
    <t>11:25S</t>
  </si>
  <si>
    <t>13:17M</t>
  </si>
  <si>
    <t>5:49C</t>
  </si>
  <si>
    <t>11:23C</t>
  </si>
  <si>
    <t>41S</t>
  </si>
  <si>
    <t>11:43S</t>
  </si>
  <si>
    <t>41C</t>
  </si>
  <si>
    <t>25:343M</t>
  </si>
  <si>
    <t>7:55M</t>
  </si>
  <si>
    <t>11:211C</t>
  </si>
  <si>
    <t>5:31S</t>
  </si>
  <si>
    <t>11:175k</t>
  </si>
  <si>
    <t>11:29C</t>
  </si>
  <si>
    <t>19:23S</t>
  </si>
  <si>
    <t>117649C</t>
  </si>
  <si>
    <t>13:29C</t>
  </si>
  <si>
    <t>25:77S</t>
  </si>
  <si>
    <t>7:31C</t>
  </si>
  <si>
    <t>7:29M</t>
  </si>
  <si>
    <t>5:343k</t>
  </si>
  <si>
    <t>3125M</t>
  </si>
  <si>
    <t>475S</t>
  </si>
  <si>
    <t>1225k</t>
  </si>
  <si>
    <t>77:125M</t>
  </si>
  <si>
    <t>125:343M</t>
  </si>
  <si>
    <t>19:37M</t>
  </si>
  <si>
    <t>875M</t>
  </si>
  <si>
    <t>49:625C</t>
  </si>
  <si>
    <t>49:55C</t>
  </si>
  <si>
    <t>221:295s</t>
  </si>
  <si>
    <t>13:77C</t>
  </si>
  <si>
    <t>19:67C</t>
  </si>
  <si>
    <t>13:47C</t>
  </si>
  <si>
    <t>5:91C</t>
  </si>
  <si>
    <t>17:37M</t>
  </si>
  <si>
    <t>7:41S</t>
  </si>
  <si>
    <t>16807S</t>
  </si>
  <si>
    <t>5:73M</t>
  </si>
  <si>
    <t>13:19M</t>
  </si>
  <si>
    <t>7:37C</t>
  </si>
  <si>
    <t>13:37C</t>
  </si>
  <si>
    <t>97C</t>
  </si>
  <si>
    <t>2375M</t>
  </si>
  <si>
    <t>11:37C</t>
  </si>
  <si>
    <t>13:31k</t>
  </si>
  <si>
    <t>49:121S</t>
  </si>
  <si>
    <t>2375S</t>
  </si>
  <si>
    <t>5:29C</t>
  </si>
  <si>
    <t>7:125k</t>
  </si>
  <si>
    <t>11:59k</t>
  </si>
  <si>
    <t>19:31M</t>
  </si>
  <si>
    <t>19:55M</t>
  </si>
  <si>
    <t>11:245S</t>
  </si>
  <si>
    <t>7:275M</t>
  </si>
  <si>
    <t>13:23C</t>
  </si>
  <si>
    <t>49:275C</t>
  </si>
  <si>
    <t>7:625S</t>
  </si>
  <si>
    <t>385C</t>
  </si>
  <si>
    <t>65M</t>
  </si>
  <si>
    <t>25:47C</t>
  </si>
  <si>
    <t>19:49M</t>
  </si>
  <si>
    <t>7:61M</t>
  </si>
  <si>
    <t>125:433M</t>
  </si>
  <si>
    <t>11:65C</t>
  </si>
  <si>
    <t>11:97S</t>
  </si>
  <si>
    <t>5005M</t>
  </si>
  <si>
    <t>35:121M</t>
  </si>
  <si>
    <t>49:3125k</t>
  </si>
  <si>
    <t>5:121C</t>
  </si>
  <si>
    <t>13:37n</t>
  </si>
  <si>
    <t>6125k</t>
  </si>
  <si>
    <t>31:49n</t>
  </si>
  <si>
    <t>7:65S</t>
  </si>
  <si>
    <t>5764801M</t>
  </si>
  <si>
    <t>7:65M</t>
  </si>
  <si>
    <t>7:89k</t>
  </si>
  <si>
    <t>1001S</t>
  </si>
  <si>
    <t>61:83S</t>
  </si>
  <si>
    <t>11:47C</t>
  </si>
  <si>
    <t>7:29C</t>
  </si>
  <si>
    <t>31:53C</t>
  </si>
  <si>
    <t>35:121S</t>
  </si>
  <si>
    <t>5:2401C</t>
  </si>
  <si>
    <t>5:61C</t>
  </si>
  <si>
    <t>61C</t>
  </si>
  <si>
    <t>19:29C</t>
  </si>
  <si>
    <t>5:37C</t>
  </si>
  <si>
    <t>275S</t>
  </si>
  <si>
    <t>23:25M</t>
  </si>
  <si>
    <t>5:53k</t>
  </si>
  <si>
    <t>5:47C</t>
  </si>
  <si>
    <t>25:29M</t>
  </si>
  <si>
    <t>25:29S</t>
  </si>
  <si>
    <t>19:35M</t>
  </si>
  <si>
    <t>125:433S</t>
  </si>
  <si>
    <t>390625k</t>
  </si>
  <si>
    <t>61k</t>
  </si>
  <si>
    <t>8575S</t>
  </si>
  <si>
    <t>37:85S</t>
  </si>
  <si>
    <t>7:121S</t>
  </si>
  <si>
    <t>7:43S</t>
  </si>
  <si>
    <t>4375C</t>
  </si>
  <si>
    <t>49:275s</t>
  </si>
  <si>
    <t>23:35C</t>
  </si>
  <si>
    <t>5:323C</t>
  </si>
  <si>
    <t>5:41S</t>
  </si>
  <si>
    <t>11875M</t>
  </si>
  <si>
    <t>11:53C</t>
  </si>
  <si>
    <t>5:43S</t>
  </si>
  <si>
    <t>1715k</t>
  </si>
  <si>
    <t>47M</t>
  </si>
  <si>
    <t>19:25M</t>
  </si>
  <si>
    <t>19:77C</t>
  </si>
  <si>
    <t>40353607C</t>
  </si>
  <si>
    <t>12005S</t>
  </si>
  <si>
    <t>23:61k</t>
  </si>
  <si>
    <t>7:143S</t>
  </si>
  <si>
    <t>13:49C</t>
  </si>
  <si>
    <t>31:43M</t>
  </si>
  <si>
    <t>8575k</t>
  </si>
  <si>
    <t>23:43C</t>
  </si>
  <si>
    <t>5:59C</t>
  </si>
  <si>
    <t>25:37C</t>
  </si>
  <si>
    <t>5:119C</t>
  </si>
  <si>
    <t>35:143S</t>
  </si>
  <si>
    <t>49:89S</t>
  </si>
  <si>
    <t>41:67M</t>
  </si>
  <si>
    <t>7:97S</t>
  </si>
  <si>
    <t>29:71M</t>
  </si>
  <si>
    <t>11:125C</t>
  </si>
  <si>
    <t>605C</t>
  </si>
  <si>
    <t>83M</t>
  </si>
  <si>
    <t>25:47k</t>
  </si>
  <si>
    <t>5:107k</t>
  </si>
  <si>
    <t>31:53M</t>
  </si>
  <si>
    <t>25:121S</t>
  </si>
  <si>
    <t>5:89C</t>
  </si>
  <si>
    <t>17:47M</t>
  </si>
  <si>
    <t>11:79C</t>
  </si>
  <si>
    <t>7:625C</t>
  </si>
  <si>
    <t>13:103C</t>
  </si>
  <si>
    <t>1953125C</t>
  </si>
  <si>
    <t>5:79C</t>
  </si>
  <si>
    <t>11:43M</t>
  </si>
  <si>
    <t>49:625k</t>
  </si>
  <si>
    <t>11:245C</t>
  </si>
  <si>
    <t>31:49C</t>
  </si>
  <si>
    <t>29:31C</t>
  </si>
  <si>
    <t>47:71C</t>
  </si>
  <si>
    <t>23:89M</t>
  </si>
  <si>
    <t>4235M</t>
  </si>
  <si>
    <t>187M</t>
  </si>
  <si>
    <t>5:91S</t>
  </si>
  <si>
    <t>11:85M</t>
  </si>
  <si>
    <t>1331S</t>
  </si>
  <si>
    <t>19:37S</t>
  </si>
  <si>
    <t>23:55C</t>
  </si>
  <si>
    <t>37:85M</t>
  </si>
  <si>
    <t>23:49C</t>
  </si>
  <si>
    <t>11:125s</t>
  </si>
  <si>
    <t>343C</t>
  </si>
  <si>
    <t>49:53M</t>
  </si>
  <si>
    <t>7:97M</t>
  </si>
  <si>
    <t>5:67C</t>
  </si>
  <si>
    <t>31:37C</t>
  </si>
  <si>
    <t>47:53s</t>
  </si>
  <si>
    <t>715S</t>
  </si>
  <si>
    <t>59:91M</t>
  </si>
  <si>
    <t>5:1001C</t>
  </si>
  <si>
    <t>143k</t>
  </si>
  <si>
    <t>17:29C</t>
  </si>
  <si>
    <t>31:59s</t>
  </si>
  <si>
    <t>19:67S</t>
  </si>
  <si>
    <t>31:59C</t>
  </si>
  <si>
    <t>5:47S</t>
  </si>
  <si>
    <t>19:73S</t>
  </si>
  <si>
    <t>7:247S</t>
  </si>
  <si>
    <t>78125C</t>
  </si>
  <si>
    <t>37:47k</t>
  </si>
  <si>
    <t>475C</t>
  </si>
  <si>
    <t>5:1001S</t>
  </si>
  <si>
    <t>11:49k</t>
  </si>
  <si>
    <t>25:67k</t>
  </si>
  <si>
    <t>42875C</t>
  </si>
  <si>
    <t>11:41C</t>
  </si>
  <si>
    <t>17:19C</t>
  </si>
  <si>
    <t>343:625S</t>
  </si>
  <si>
    <t>5:2401s</t>
  </si>
  <si>
    <t>823543k</t>
  </si>
  <si>
    <t>13:49k</t>
  </si>
  <si>
    <t>13:43S</t>
  </si>
  <si>
    <t>11:29S</t>
  </si>
  <si>
    <t>169S</t>
  </si>
  <si>
    <t>73C</t>
  </si>
  <si>
    <t>89S</t>
  </si>
  <si>
    <t>59C</t>
  </si>
  <si>
    <t>11:47n</t>
  </si>
  <si>
    <t>149C</t>
  </si>
  <si>
    <t>11:91M</t>
  </si>
  <si>
    <t>17:35S</t>
  </si>
  <si>
    <t>91:121k</t>
  </si>
  <si>
    <t>539n</t>
  </si>
  <si>
    <t>5:101s</t>
  </si>
  <si>
    <t>17:53M</t>
  </si>
  <si>
    <t>16807M</t>
  </si>
  <si>
    <t>7:89C</t>
  </si>
  <si>
    <t>41:77C</t>
  </si>
  <si>
    <t>125:2401C</t>
  </si>
  <si>
    <t>31:61C</t>
  </si>
  <si>
    <t>11:71S</t>
  </si>
  <si>
    <t>109C</t>
  </si>
  <si>
    <t>43:65C</t>
  </si>
  <si>
    <t>17:53C</t>
  </si>
  <si>
    <t>539C</t>
  </si>
  <si>
    <t>13:41s</t>
  </si>
  <si>
    <t>19:55C</t>
  </si>
  <si>
    <t>23:67M</t>
  </si>
  <si>
    <t>11:1225S</t>
  </si>
  <si>
    <t>48828125M</t>
  </si>
  <si>
    <t>4375n</t>
  </si>
  <si>
    <t>19:61C</t>
  </si>
  <si>
    <t>13:79C</t>
  </si>
  <si>
    <t>149M</t>
  </si>
  <si>
    <t>7:43M</t>
  </si>
  <si>
    <t>289k</t>
  </si>
  <si>
    <t>7:47k</t>
  </si>
  <si>
    <t>13:55k</t>
  </si>
  <si>
    <t>83S</t>
  </si>
  <si>
    <t>25:1001C</t>
  </si>
  <si>
    <t>823543S</t>
  </si>
  <si>
    <t>11:211s</t>
  </si>
  <si>
    <t>67:107C</t>
  </si>
  <si>
    <t>17:65S</t>
  </si>
  <si>
    <t>7:715C</t>
  </si>
  <si>
    <t>29:55n</t>
  </si>
  <si>
    <t>125:343S</t>
  </si>
  <si>
    <t>53k</t>
  </si>
  <si>
    <t>25:43C</t>
  </si>
  <si>
    <t>37:47C</t>
  </si>
  <si>
    <t>282475249s</t>
  </si>
  <si>
    <t>19:73C</t>
  </si>
  <si>
    <t>13:31C</t>
  </si>
  <si>
    <t>625S</t>
  </si>
  <si>
    <t>19:103C</t>
  </si>
  <si>
    <t>3767:5581C</t>
  </si>
  <si>
    <t>29:43C</t>
  </si>
  <si>
    <t>85:97C</t>
  </si>
  <si>
    <t>3767:5069C</t>
  </si>
  <si>
    <t>23:29k</t>
  </si>
  <si>
    <t>47:77M</t>
  </si>
  <si>
    <t>17:29S</t>
  </si>
  <si>
    <t>3767:4151S</t>
  </si>
  <si>
    <t>3767:4583M</t>
  </si>
  <si>
    <t>23:137C</t>
  </si>
  <si>
    <t>35:47C</t>
  </si>
  <si>
    <t>3767:6805C</t>
  </si>
  <si>
    <t>7:1787k</t>
  </si>
  <si>
    <t>282475249C</t>
  </si>
  <si>
    <t>275k</t>
  </si>
  <si>
    <t>37:41C</t>
  </si>
  <si>
    <t>13:85M</t>
  </si>
  <si>
    <t>3767:6157M</t>
  </si>
  <si>
    <t>244140625S</t>
  </si>
  <si>
    <t>23:43s</t>
  </si>
  <si>
    <t>25:43M</t>
  </si>
  <si>
    <t>25:91S</t>
  </si>
  <si>
    <t>37:61S</t>
  </si>
  <si>
    <t>35:2717S</t>
  </si>
  <si>
    <t>59:79k</t>
  </si>
  <si>
    <t>61:67S</t>
  </si>
  <si>
    <t>197:355C</t>
  </si>
  <si>
    <t>19:29M</t>
  </si>
  <si>
    <t>17:43n</t>
  </si>
  <si>
    <t>59:91S</t>
  </si>
  <si>
    <t>215:643k</t>
  </si>
  <si>
    <t>715k</t>
  </si>
  <si>
    <t>29:55C</t>
  </si>
  <si>
    <t>7:3125C</t>
  </si>
  <si>
    <t>5:61M</t>
  </si>
  <si>
    <t>31:43C</t>
  </si>
  <si>
    <t>17:65C</t>
  </si>
  <si>
    <t>7:113C</t>
  </si>
  <si>
    <t>23:49s</t>
  </si>
  <si>
    <t>35:169C</t>
  </si>
  <si>
    <t>25:2401n</t>
  </si>
  <si>
    <t>29:35C</t>
  </si>
  <si>
    <t>43:47M</t>
  </si>
  <si>
    <t>97S</t>
  </si>
  <si>
    <t>19:89C</t>
  </si>
  <si>
    <t>65:71M</t>
  </si>
  <si>
    <t>17:41C</t>
  </si>
  <si>
    <t>23:91C</t>
  </si>
  <si>
    <t>41:53M</t>
  </si>
  <si>
    <t>60025M</t>
  </si>
  <si>
    <t>29:143M</t>
  </si>
  <si>
    <t>43:85C</t>
  </si>
  <si>
    <t>425C</t>
  </si>
  <si>
    <t>1331M</t>
  </si>
  <si>
    <t>11:85C</t>
  </si>
  <si>
    <t>5:143C</t>
  </si>
  <si>
    <t>79S</t>
  </si>
  <si>
    <t>46225:413449k</t>
  </si>
  <si>
    <t>19:101k</t>
  </si>
  <si>
    <t>47:67C</t>
  </si>
  <si>
    <t>25:109M</t>
  </si>
  <si>
    <t>13:55C</t>
  </si>
  <si>
    <t>14641k</t>
  </si>
  <si>
    <t>7:221C</t>
  </si>
  <si>
    <t>55:89S</t>
  </si>
  <si>
    <t>17:55S</t>
  </si>
  <si>
    <t>49:65k</t>
  </si>
  <si>
    <t>5:187M</t>
  </si>
  <si>
    <t>17:67C</t>
  </si>
  <si>
    <t>29:65k</t>
  </si>
  <si>
    <t>4235C</t>
  </si>
  <si>
    <t>37:83k</t>
  </si>
  <si>
    <t>11:109S</t>
  </si>
  <si>
    <t>23:41k</t>
  </si>
  <si>
    <t>23:89C</t>
  </si>
  <si>
    <t>7:37S</t>
  </si>
  <si>
    <t>1977326743M</t>
  </si>
  <si>
    <t>211:253C</t>
  </si>
  <si>
    <t>35:2431M</t>
  </si>
  <si>
    <t>7:187C</t>
  </si>
  <si>
    <t>29:31n</t>
  </si>
  <si>
    <t>11:1225M</t>
  </si>
  <si>
    <t>31:77C</t>
  </si>
  <si>
    <t>9938375:265847707C</t>
  </si>
  <si>
    <t>25:161C</t>
  </si>
  <si>
    <t>5:43k</t>
  </si>
  <si>
    <t>73:77s</t>
  </si>
  <si>
    <t>13:53C</t>
  </si>
  <si>
    <t>67S</t>
  </si>
  <si>
    <t>1001M</t>
  </si>
  <si>
    <t>9765625C</t>
  </si>
  <si>
    <t>23:37C</t>
  </si>
  <si>
    <t>13:41C</t>
  </si>
  <si>
    <t>31:47C</t>
  </si>
  <si>
    <t>79:115M</t>
  </si>
  <si>
    <t>125:419C</t>
  </si>
  <si>
    <t>23:47S</t>
  </si>
  <si>
    <t>13:385S</t>
  </si>
  <si>
    <t>31:35k</t>
  </si>
  <si>
    <t>73:91C</t>
  </si>
  <si>
    <t>221M</t>
  </si>
  <si>
    <t>2695C</t>
  </si>
  <si>
    <t>17:79S</t>
  </si>
  <si>
    <t>23:59M</t>
  </si>
  <si>
    <t>420175C</t>
  </si>
  <si>
    <t>29:61s</t>
  </si>
  <si>
    <t>109S</t>
  </si>
  <si>
    <t>19:43k</t>
  </si>
  <si>
    <t>11875C</t>
  </si>
  <si>
    <t>5:41M</t>
  </si>
  <si>
    <t>49:71M</t>
  </si>
  <si>
    <t>47:83k</t>
  </si>
  <si>
    <t>5764801S</t>
  </si>
  <si>
    <t>499S</t>
  </si>
  <si>
    <t>5:221M</t>
  </si>
  <si>
    <t>29:61C</t>
  </si>
  <si>
    <t>23:59C</t>
  </si>
  <si>
    <t>41:77k</t>
  </si>
  <si>
    <t>17:79M</t>
  </si>
  <si>
    <t>221S</t>
  </si>
  <si>
    <t>47:101S</t>
  </si>
  <si>
    <t>199:671n</t>
  </si>
  <si>
    <t>13:59C</t>
  </si>
  <si>
    <t>23:35M</t>
  </si>
  <si>
    <t>5:101C</t>
  </si>
  <si>
    <t>67:205S</t>
  </si>
  <si>
    <t>13:101M</t>
  </si>
  <si>
    <t>1953125k</t>
  </si>
  <si>
    <t>7:209C</t>
  </si>
  <si>
    <t>5:209S</t>
  </si>
  <si>
    <t>9765625M</t>
  </si>
  <si>
    <t>7:323M</t>
  </si>
  <si>
    <t>67k</t>
  </si>
  <si>
    <t>25:97M</t>
  </si>
  <si>
    <t>73:77C</t>
  </si>
  <si>
    <t>17:49S</t>
  </si>
  <si>
    <t>59:85S</t>
  </si>
  <si>
    <t>30625C</t>
  </si>
  <si>
    <t>43:49C</t>
  </si>
  <si>
    <t>49:83k</t>
  </si>
  <si>
    <t>7:73S</t>
  </si>
  <si>
    <t>11:91C</t>
  </si>
  <si>
    <t>17:47C</t>
  </si>
  <si>
    <t>25:59k</t>
  </si>
  <si>
    <t>7:41M</t>
  </si>
  <si>
    <t>5:127k</t>
  </si>
  <si>
    <t>37:79C</t>
  </si>
  <si>
    <t>89C</t>
  </si>
  <si>
    <t>35:3553k</t>
  </si>
  <si>
    <t>7:121C</t>
  </si>
  <si>
    <t>73M</t>
  </si>
  <si>
    <t>17:37C</t>
  </si>
  <si>
    <t>43:73k</t>
  </si>
  <si>
    <t>35:4199C</t>
  </si>
  <si>
    <t>41:65k</t>
  </si>
  <si>
    <t>19:179k</t>
  </si>
  <si>
    <t>43:83M</t>
  </si>
  <si>
    <t>37:53S</t>
  </si>
  <si>
    <t>47:67s</t>
  </si>
  <si>
    <t>5:83M</t>
  </si>
  <si>
    <t>5:121S</t>
  </si>
  <si>
    <t>41:47C</t>
  </si>
  <si>
    <t>5:247M</t>
  </si>
  <si>
    <t>133M</t>
  </si>
  <si>
    <t>25:143C</t>
  </si>
  <si>
    <t>13:61C</t>
  </si>
  <si>
    <t>41:53S</t>
  </si>
  <si>
    <t>19:89S</t>
  </si>
  <si>
    <t>11:455M</t>
  </si>
  <si>
    <t>625:2401S</t>
  </si>
  <si>
    <t>19:65C</t>
  </si>
  <si>
    <t>65:77C</t>
  </si>
  <si>
    <t>7:3125M</t>
  </si>
  <si>
    <t>11:41k</t>
  </si>
  <si>
    <t>42875M</t>
  </si>
  <si>
    <t>13:29k</t>
  </si>
  <si>
    <t>49:85S</t>
  </si>
  <si>
    <t>35:37k</t>
  </si>
  <si>
    <t>13:67M</t>
  </si>
  <si>
    <t>17:43C</t>
  </si>
  <si>
    <t>47:73M</t>
  </si>
  <si>
    <t>5:169k</t>
  </si>
  <si>
    <t>65:101M</t>
  </si>
  <si>
    <t>29:91C</t>
  </si>
  <si>
    <t>23:143M</t>
  </si>
  <si>
    <t>41:71M</t>
  </si>
  <si>
    <t>29:37C</t>
  </si>
  <si>
    <t>17:31M</t>
  </si>
  <si>
    <t>35:143M</t>
  </si>
  <si>
    <t>77:125C</t>
  </si>
  <si>
    <t>41:43C</t>
  </si>
  <si>
    <t>37:43S</t>
  </si>
  <si>
    <t>49:121C</t>
  </si>
  <si>
    <t>23:29C</t>
  </si>
  <si>
    <t>19:35C</t>
  </si>
  <si>
    <t>23:65C</t>
  </si>
  <si>
    <t>117649k</t>
  </si>
  <si>
    <t>85:97M</t>
  </si>
  <si>
    <t>23:125C</t>
  </si>
  <si>
    <t>7:151C</t>
  </si>
  <si>
    <t>71:193C</t>
  </si>
  <si>
    <t>421:623C</t>
  </si>
  <si>
    <t>7:2431C</t>
  </si>
  <si>
    <t>1419857C</t>
  </si>
  <si>
    <t>31:335C</t>
  </si>
  <si>
    <t>73:89M</t>
  </si>
  <si>
    <t>5:4199M</t>
  </si>
  <si>
    <t>25:41M</t>
  </si>
  <si>
    <t>41:2627s</t>
  </si>
  <si>
    <t>625:2497s</t>
  </si>
  <si>
    <t>41:61C</t>
  </si>
  <si>
    <t>625:6103M</t>
  </si>
  <si>
    <t>625:763M</t>
  </si>
  <si>
    <t>13:115C</t>
  </si>
  <si>
    <t>23:65k</t>
  </si>
  <si>
    <t>5:131M</t>
  </si>
  <si>
    <t>13:253S</t>
  </si>
  <si>
    <t>1859S</t>
  </si>
  <si>
    <t>5:391M</t>
  </si>
  <si>
    <t>49:73C</t>
  </si>
  <si>
    <t>1043411:8368747s</t>
  </si>
  <si>
    <t>16337k</t>
  </si>
  <si>
    <t>53:79k</t>
  </si>
  <si>
    <t>7:167k</t>
  </si>
  <si>
    <t>625:1529M</t>
  </si>
  <si>
    <t>37:43M</t>
  </si>
  <si>
    <t>473185C</t>
  </si>
  <si>
    <t>41:43k</t>
  </si>
  <si>
    <t>5:527S</t>
  </si>
  <si>
    <t>455C</t>
  </si>
  <si>
    <t>65:97k</t>
  </si>
  <si>
    <t>625:1021M</t>
  </si>
  <si>
    <t>2057k</t>
  </si>
  <si>
    <t>7:61S</t>
  </si>
  <si>
    <t>35:209k</t>
  </si>
  <si>
    <t>5:637k</t>
  </si>
  <si>
    <t>211S</t>
  </si>
  <si>
    <t>209M</t>
  </si>
  <si>
    <t>19:137C</t>
  </si>
  <si>
    <t>13:343S</t>
  </si>
  <si>
    <t>5:53S</t>
  </si>
  <si>
    <t>23:25C</t>
  </si>
  <si>
    <t>5:97S</t>
  </si>
  <si>
    <t>113:137S</t>
  </si>
  <si>
    <t>17:245C</t>
  </si>
  <si>
    <t>17:151C</t>
  </si>
  <si>
    <t>89:133k</t>
  </si>
  <si>
    <t>845S</t>
  </si>
  <si>
    <t>1043411:5581549k</t>
  </si>
  <si>
    <t>77:155k</t>
  </si>
  <si>
    <t>155S</t>
  </si>
  <si>
    <t>49:131s</t>
  </si>
  <si>
    <t>133:199s</t>
  </si>
  <si>
    <t>49:715S</t>
  </si>
  <si>
    <t>19:4375C</t>
  </si>
  <si>
    <t>13:139s</t>
  </si>
  <si>
    <t>390385:1043411s</t>
  </si>
  <si>
    <t>79:97M</t>
  </si>
  <si>
    <t>35:187s</t>
  </si>
  <si>
    <t>71:79C</t>
  </si>
  <si>
    <t>71:1517s</t>
  </si>
  <si>
    <t>37:133C</t>
  </si>
  <si>
    <t>127C</t>
  </si>
  <si>
    <t>1568693:2349463s</t>
  </si>
  <si>
    <t>29:37S</t>
  </si>
  <si>
    <t>161051M</t>
  </si>
  <si>
    <t>21875s</t>
  </si>
  <si>
    <t>31:125C</t>
  </si>
  <si>
    <t>125:749s</t>
  </si>
  <si>
    <t>5:1573M</t>
  </si>
  <si>
    <t>935M</t>
  </si>
  <si>
    <t>23:403M</t>
  </si>
  <si>
    <t>53:59C</t>
  </si>
  <si>
    <t>1568693:2093975s</t>
  </si>
  <si>
    <t>625:3337s</t>
  </si>
  <si>
    <t>55:91S</t>
  </si>
  <si>
    <t>13:95M</t>
  </si>
  <si>
    <t>7:3553C</t>
  </si>
  <si>
    <t>7:551M</t>
  </si>
  <si>
    <t>41:71S</t>
  </si>
  <si>
    <t>5:713C</t>
  </si>
  <si>
    <t>23:143C</t>
  </si>
  <si>
    <t>91:1331M</t>
  </si>
  <si>
    <t>73:131C</t>
  </si>
  <si>
    <t>8959M</t>
  </si>
  <si>
    <t>17:61C</t>
  </si>
  <si>
    <t>29:91S</t>
  </si>
  <si>
    <t>65:101C</t>
  </si>
  <si>
    <t>25:101C</t>
  </si>
  <si>
    <t>49:97C</t>
  </si>
  <si>
    <t>341n</t>
  </si>
  <si>
    <t>5:169C</t>
  </si>
  <si>
    <t>1043411:6267619s</t>
  </si>
  <si>
    <t>53:95C</t>
  </si>
  <si>
    <t>25:437M</t>
  </si>
  <si>
    <t>47:73C</t>
  </si>
  <si>
    <t>181:241s</t>
  </si>
  <si>
    <t>13:625s</t>
  </si>
  <si>
    <t>3751M</t>
  </si>
  <si>
    <t>43:53M</t>
  </si>
  <si>
    <t>115:169S</t>
  </si>
  <si>
    <t>11:73C</t>
  </si>
  <si>
    <t>103:115C</t>
  </si>
  <si>
    <t>11:89C</t>
  </si>
  <si>
    <t>109:145s</t>
  </si>
  <si>
    <t>25:83C</t>
  </si>
  <si>
    <t>253C</t>
  </si>
  <si>
    <t>13:67C</t>
  </si>
  <si>
    <t>98549s</t>
  </si>
  <si>
    <t>31:251C</t>
  </si>
  <si>
    <t>77:95S</t>
  </si>
  <si>
    <t>35:37C</t>
  </si>
  <si>
    <t>7:78125S</t>
  </si>
  <si>
    <t>29:47S</t>
  </si>
  <si>
    <t>199:217M</t>
  </si>
  <si>
    <t>49:85M</t>
  </si>
  <si>
    <t>73:97k</t>
  </si>
  <si>
    <t>19:85k</t>
  </si>
  <si>
    <t>25:367M</t>
  </si>
  <si>
    <t>7:15625M</t>
  </si>
  <si>
    <t>83:487S</t>
  </si>
  <si>
    <t>91:605C</t>
  </si>
  <si>
    <t>5:133C</t>
  </si>
  <si>
    <t>625:2797k</t>
  </si>
  <si>
    <t>67:73M</t>
  </si>
  <si>
    <t>5:259S</t>
  </si>
  <si>
    <t>37:73C</t>
  </si>
  <si>
    <t>55:101M</t>
  </si>
  <si>
    <t>29:77k</t>
  </si>
  <si>
    <t>29:85S</t>
  </si>
  <si>
    <t>47:113C</t>
  </si>
  <si>
    <t>29:193C</t>
  </si>
  <si>
    <t>13:125C</t>
  </si>
  <si>
    <t>1043411:7453987k</t>
  </si>
  <si>
    <t>109:131C</t>
  </si>
  <si>
    <t>13:71S</t>
  </si>
  <si>
    <t>47:53C</t>
  </si>
  <si>
    <t>31:37k</t>
  </si>
  <si>
    <t>133:149k</t>
  </si>
  <si>
    <t>1705C</t>
  </si>
  <si>
    <t>199:239C</t>
  </si>
  <si>
    <t>11:157k</t>
  </si>
  <si>
    <t>625:5437M</t>
  </si>
  <si>
    <t>25847:31031C</t>
  </si>
  <si>
    <t>589:805S</t>
  </si>
  <si>
    <t>625:2803k</t>
  </si>
  <si>
    <t>55:83k</t>
  </si>
  <si>
    <t>97:173k</t>
  </si>
  <si>
    <t>44795S</t>
  </si>
  <si>
    <t>19:65M</t>
  </si>
  <si>
    <t>25:323S</t>
  </si>
  <si>
    <t>269297:302065k</t>
  </si>
  <si>
    <t>49:67S</t>
  </si>
  <si>
    <t>13:113M</t>
  </si>
  <si>
    <t>15625:561001k</t>
  </si>
  <si>
    <t>67:83S</t>
  </si>
  <si>
    <t>37:49C</t>
  </si>
  <si>
    <t>4913C</t>
  </si>
  <si>
    <t>7:715k</t>
  </si>
  <si>
    <t>5:67k</t>
  </si>
  <si>
    <t>1568693:1760309s</t>
  </si>
  <si>
    <t>625:5611s</t>
  </si>
  <si>
    <t>143:343C</t>
  </si>
  <si>
    <t>847k</t>
  </si>
  <si>
    <t>307C</t>
  </si>
  <si>
    <t>625:8909s</t>
  </si>
  <si>
    <t>533029C</t>
  </si>
  <si>
    <t>224099:399193s</t>
  </si>
  <si>
    <t>49:53C</t>
  </si>
  <si>
    <t>5:847C</t>
  </si>
  <si>
    <t>137:221S</t>
  </si>
  <si>
    <t>11:133C</t>
  </si>
  <si>
    <t>61:137s</t>
  </si>
  <si>
    <t>52855S</t>
  </si>
  <si>
    <t>464533:1043411s</t>
  </si>
  <si>
    <t>65:73s</t>
  </si>
  <si>
    <t>25:31S</t>
  </si>
  <si>
    <t>109375C</t>
  </si>
  <si>
    <t>269297:479545s</t>
  </si>
  <si>
    <t>765625M</t>
  </si>
  <si>
    <t>49:79S</t>
  </si>
  <si>
    <t>31:41C</t>
  </si>
  <si>
    <t>25:529C</t>
  </si>
  <si>
    <t>91:109C</t>
  </si>
  <si>
    <t>125:403S</t>
  </si>
  <si>
    <t>17:121n</t>
  </si>
  <si>
    <t>7:139S</t>
  </si>
  <si>
    <t>77:137n</t>
  </si>
  <si>
    <t>1043411:4691773n</t>
  </si>
  <si>
    <t>95:169n</t>
  </si>
  <si>
    <t>67:107k</t>
  </si>
  <si>
    <t>13:185n</t>
  </si>
  <si>
    <t>625:2401C</t>
  </si>
  <si>
    <t>11:455S</t>
  </si>
  <si>
    <t>5:1055723C</t>
  </si>
  <si>
    <t>775C</t>
  </si>
  <si>
    <t>179707M</t>
  </si>
  <si>
    <t>7:67C</t>
  </si>
  <si>
    <t>125:209C</t>
  </si>
  <si>
    <t>17:103C</t>
  </si>
  <si>
    <t>29:97C</t>
  </si>
  <si>
    <t>9181:12121C</t>
  </si>
  <si>
    <t>9181:13913C</t>
  </si>
  <si>
    <t>121:131M</t>
  </si>
  <si>
    <t>319:421C</t>
  </si>
  <si>
    <t>125:563n</t>
  </si>
  <si>
    <t>125:1457M</t>
  </si>
  <si>
    <t>13175C</t>
  </si>
  <si>
    <t>7:2717C</t>
  </si>
  <si>
    <t>5:1183M</t>
  </si>
  <si>
    <t>73:149S</t>
  </si>
  <si>
    <t>637C</t>
  </si>
  <si>
    <t>473:533s</t>
  </si>
  <si>
    <t>625:6869M</t>
  </si>
  <si>
    <t>47:449C</t>
  </si>
  <si>
    <t>119C</t>
  </si>
  <si>
    <t>25:1001s</t>
  </si>
  <si>
    <t>49:61C</t>
  </si>
  <si>
    <t>119:211k</t>
  </si>
  <si>
    <t>5:497483C</t>
  </si>
  <si>
    <t>25:2631019C</t>
  </si>
  <si>
    <t>49:15625C</t>
  </si>
  <si>
    <t>23:55k</t>
  </si>
  <si>
    <t>35:137S</t>
  </si>
  <si>
    <t>65:109k</t>
  </si>
  <si>
    <t>1071875S</t>
  </si>
  <si>
    <t>19:23C</t>
  </si>
  <si>
    <t>13:61S</t>
  </si>
  <si>
    <t>25:143k</t>
  </si>
  <si>
    <t>81685C</t>
  </si>
  <si>
    <t>625:6881M</t>
  </si>
  <si>
    <t>133C</t>
  </si>
  <si>
    <t>11:95S</t>
  </si>
  <si>
    <t>563:671k</t>
  </si>
  <si>
    <t>5:247S</t>
  </si>
  <si>
    <t>319:485C</t>
  </si>
  <si>
    <t>5:1859M</t>
  </si>
  <si>
    <t>275:343C</t>
  </si>
  <si>
    <t>1043411:4971709k</t>
  </si>
  <si>
    <t>125:12167C</t>
  </si>
  <si>
    <t>41:781k</t>
  </si>
  <si>
    <t>28985k</t>
  </si>
  <si>
    <t>31:115S</t>
  </si>
  <si>
    <t>438289:1043411k</t>
  </si>
  <si>
    <t>41:47M</t>
  </si>
  <si>
    <t>12427:31031C</t>
  </si>
  <si>
    <t>1953125:420189749k</t>
  </si>
  <si>
    <t>1568693:2636887k</t>
  </si>
  <si>
    <t>61:125S</t>
  </si>
  <si>
    <t>29:205k</t>
  </si>
  <si>
    <t>221:295C</t>
  </si>
  <si>
    <t>11:311k</t>
  </si>
  <si>
    <t>23:61C</t>
  </si>
  <si>
    <t>1568693:1865285k</t>
  </si>
  <si>
    <t>1633:2747k</t>
  </si>
  <si>
    <t>625:743k</t>
  </si>
  <si>
    <t>17:77k</t>
  </si>
  <si>
    <t>13:175k</t>
  </si>
  <si>
    <t>5:83C</t>
  </si>
  <si>
    <t>199:473k</t>
  </si>
  <si>
    <t>35:1331k</t>
  </si>
  <si>
    <t>7:377k</t>
  </si>
  <si>
    <t>41:125C</t>
  </si>
  <si>
    <t>59:127S</t>
  </si>
  <si>
    <t>37:53k</t>
  </si>
  <si>
    <t>113C</t>
  </si>
  <si>
    <t>77:79S</t>
  </si>
  <si>
    <t>53:307M</t>
  </si>
  <si>
    <t>17:229s</t>
  </si>
  <si>
    <t>5:539s</t>
  </si>
  <si>
    <t>35:247C</t>
  </si>
  <si>
    <t>37:97C</t>
  </si>
  <si>
    <t>5989:6439S</t>
  </si>
  <si>
    <t>25:779M</t>
  </si>
  <si>
    <t>1043411:7034083s</t>
  </si>
  <si>
    <t>214358881C</t>
  </si>
  <si>
    <t>65:121S</t>
  </si>
  <si>
    <t>63767M</t>
  </si>
  <si>
    <t>13:83C</t>
  </si>
  <si>
    <t>23:133M</t>
  </si>
  <si>
    <t>125:931S</t>
  </si>
  <si>
    <t>625:5141M</t>
  </si>
  <si>
    <t>625:3989C</t>
  </si>
  <si>
    <t>43:83C</t>
  </si>
  <si>
    <t>17:73C</t>
  </si>
  <si>
    <t>59:67C</t>
  </si>
  <si>
    <t>67:371M</t>
  </si>
  <si>
    <t>121:193C</t>
  </si>
  <si>
    <t>410338673C</t>
  </si>
  <si>
    <t>2197C</t>
  </si>
  <si>
    <t>55:59C</t>
  </si>
  <si>
    <t>527M</t>
  </si>
  <si>
    <t>35:97M</t>
  </si>
  <si>
    <t>607:625M</t>
  </si>
  <si>
    <t>1220703125C</t>
  </si>
  <si>
    <t>1771561s</t>
  </si>
  <si>
    <t>73:83C</t>
  </si>
  <si>
    <t>25:5014657S</t>
  </si>
  <si>
    <t>29:49s</t>
  </si>
  <si>
    <t>12005M</t>
  </si>
  <si>
    <t>125:971M</t>
  </si>
  <si>
    <t>10285C</t>
  </si>
  <si>
    <t>11:61M</t>
  </si>
  <si>
    <t>19:179S</t>
  </si>
  <si>
    <t>41:103C</t>
  </si>
  <si>
    <t>19:121C</t>
  </si>
  <si>
    <t>41:97s</t>
  </si>
  <si>
    <t>15895M</t>
  </si>
  <si>
    <t>1957:2821S</t>
  </si>
  <si>
    <t>41:65C</t>
  </si>
  <si>
    <t>7:47C</t>
  </si>
  <si>
    <t>35:4199n</t>
  </si>
  <si>
    <t>1043411:6640867C</t>
  </si>
  <si>
    <t>43:73S</t>
  </si>
  <si>
    <t>5:3553S</t>
  </si>
  <si>
    <t>625:3143k</t>
  </si>
  <si>
    <t>625:1631S</t>
  </si>
  <si>
    <t>101:127k</t>
  </si>
  <si>
    <t>169:385C</t>
  </si>
  <si>
    <t>61:97k</t>
  </si>
  <si>
    <t>161k</t>
  </si>
  <si>
    <t>25:107C</t>
  </si>
  <si>
    <t>40353607s</t>
  </si>
  <si>
    <t>35:3553C</t>
  </si>
  <si>
    <t>94357S</t>
  </si>
  <si>
    <t>13:445C</t>
  </si>
  <si>
    <t>37:79n</t>
  </si>
  <si>
    <t>91:131S</t>
  </si>
  <si>
    <t>625:1573k</t>
  </si>
  <si>
    <t>15841:19937k</t>
  </si>
  <si>
    <t>29:89S</t>
  </si>
  <si>
    <t>7:1375S</t>
  </si>
  <si>
    <t>113:359k</t>
  </si>
  <si>
    <t>289C</t>
  </si>
  <si>
    <t>24137569S</t>
  </si>
  <si>
    <t>121:125M</t>
  </si>
  <si>
    <t>625:1919S</t>
  </si>
  <si>
    <t>71:451k</t>
  </si>
  <si>
    <t>125:397k</t>
  </si>
  <si>
    <t>13:79M</t>
  </si>
  <si>
    <t>1568693:1975877k</t>
  </si>
  <si>
    <t>625:3149k</t>
  </si>
  <si>
    <t>217k</t>
  </si>
  <si>
    <t>13:131k</t>
  </si>
  <si>
    <t>5:127C</t>
  </si>
  <si>
    <t>31:625k</t>
  </si>
  <si>
    <t>1573S</t>
  </si>
  <si>
    <t>169:361C</t>
  </si>
  <si>
    <t>4675C</t>
  </si>
  <si>
    <t>47:71S</t>
  </si>
  <si>
    <t>224099:355633k</t>
  </si>
  <si>
    <t>7:95k</t>
  </si>
  <si>
    <t>67:251C</t>
  </si>
  <si>
    <t>19:61s</t>
  </si>
  <si>
    <t>61:83M</t>
  </si>
  <si>
    <t>19:77M</t>
  </si>
  <si>
    <t>413713:1043411k</t>
  </si>
  <si>
    <t>25:59C</t>
  </si>
  <si>
    <t>55:79S</t>
  </si>
  <si>
    <t>943:4757k</t>
  </si>
  <si>
    <t>15841:25121k</t>
  </si>
  <si>
    <t>323k</t>
  </si>
  <si>
    <t>1043411:5266621k</t>
  </si>
  <si>
    <t>125:631k</t>
  </si>
  <si>
    <t>65:103k</t>
  </si>
  <si>
    <t>49:209C</t>
  </si>
  <si>
    <t>61:77k</t>
  </si>
  <si>
    <t>7:73M</t>
  </si>
  <si>
    <t>91:97C</t>
  </si>
  <si>
    <t>49:83C</t>
  </si>
  <si>
    <t>5:341C</t>
  </si>
  <si>
    <t>71:1435s</t>
  </si>
  <si>
    <t>19:53S</t>
  </si>
  <si>
    <t>247M</t>
  </si>
  <si>
    <t>43:49M</t>
  </si>
  <si>
    <t>18755C</t>
  </si>
  <si>
    <t>48828125S</t>
  </si>
  <si>
    <t>49:151M</t>
  </si>
  <si>
    <t>30625s</t>
  </si>
  <si>
    <t>300125C</t>
  </si>
  <si>
    <t>11:175C</t>
  </si>
  <si>
    <t>1243:1781S</t>
  </si>
  <si>
    <t>319:557C</t>
  </si>
  <si>
    <t>5:253n</t>
  </si>
  <si>
    <t>125:133C</t>
  </si>
  <si>
    <t>125:179C</t>
  </si>
  <si>
    <t>25:253n</t>
  </si>
  <si>
    <t>53:55M</t>
  </si>
  <si>
    <t>25:1173019C</t>
  </si>
  <si>
    <t>59:85C</t>
  </si>
  <si>
    <t>1925C</t>
  </si>
  <si>
    <t>121:455C</t>
  </si>
  <si>
    <t>17:95C</t>
  </si>
  <si>
    <t>17:49C</t>
  </si>
  <si>
    <t>49:137C</t>
  </si>
  <si>
    <t>625:3859M</t>
  </si>
  <si>
    <t>25:97S</t>
  </si>
  <si>
    <t>4805C</t>
  </si>
  <si>
    <t>61:79M</t>
  </si>
  <si>
    <t>35:221s</t>
  </si>
  <si>
    <t>1357:2821M</t>
  </si>
  <si>
    <t>1043411:8866411C</t>
  </si>
  <si>
    <t>11:101S</t>
  </si>
  <si>
    <t>7:323C</t>
  </si>
  <si>
    <t>23:67S</t>
  </si>
  <si>
    <t>625:809M</t>
  </si>
  <si>
    <t>5:209M</t>
  </si>
  <si>
    <t>7:71s</t>
  </si>
  <si>
    <t>11:53k</t>
  </si>
  <si>
    <t>5:73S</t>
  </si>
  <si>
    <t>5:2717C</t>
  </si>
  <si>
    <t>7:209k</t>
  </si>
  <si>
    <t>7:4199C</t>
  </si>
  <si>
    <t>8525S</t>
  </si>
  <si>
    <t>625:2357C</t>
  </si>
  <si>
    <t>9181:10553S</t>
  </si>
  <si>
    <t>13:101S</t>
  </si>
  <si>
    <t>53:167k</t>
  </si>
  <si>
    <t>325k</t>
  </si>
  <si>
    <t>73:115k</t>
  </si>
  <si>
    <t>113:217S</t>
  </si>
  <si>
    <t>625:1087S</t>
  </si>
  <si>
    <t>2747:5183k</t>
  </si>
  <si>
    <t>492181:1043411k</t>
  </si>
  <si>
    <t>67:205M</t>
  </si>
  <si>
    <t>125:323M</t>
  </si>
  <si>
    <t>17:97C</t>
  </si>
  <si>
    <t>1568693:2960239k</t>
  </si>
  <si>
    <t>1043411:1105619k</t>
  </si>
  <si>
    <t>9181:15961S</t>
  </si>
  <si>
    <t>5:151k</t>
  </si>
  <si>
    <t>319:367S</t>
  </si>
  <si>
    <t>1568693:1662005k</t>
  </si>
  <si>
    <t>923:3485k</t>
  </si>
  <si>
    <t>37:71S</t>
  </si>
  <si>
    <t>331:625k</t>
  </si>
  <si>
    <t>133:169k</t>
  </si>
  <si>
    <t>47:49S</t>
  </si>
  <si>
    <t>55:71M</t>
  </si>
  <si>
    <t>625:1937M</t>
  </si>
  <si>
    <t>62843S</t>
  </si>
  <si>
    <t>35:73S</t>
  </si>
  <si>
    <t>10571M</t>
  </si>
  <si>
    <t>13:73C</t>
  </si>
  <si>
    <t>83:97C</t>
  </si>
  <si>
    <t>5:280453C</t>
  </si>
  <si>
    <t>153125C</t>
  </si>
  <si>
    <t>7:23C</t>
  </si>
  <si>
    <t>59:113S</t>
  </si>
  <si>
    <t>35:46189M</t>
  </si>
  <si>
    <t>1043411:7896355k</t>
  </si>
  <si>
    <t>3179M</t>
  </si>
  <si>
    <t>35:67S</t>
  </si>
  <si>
    <t>35:323S</t>
  </si>
  <si>
    <t>625:7111C</t>
  </si>
  <si>
    <t>7:53k</t>
  </si>
  <si>
    <t>169:1159C</t>
  </si>
  <si>
    <t>25:157k</t>
  </si>
  <si>
    <t>263:607S</t>
  </si>
  <si>
    <t>31:79k</t>
  </si>
  <si>
    <t>83521C</t>
  </si>
  <si>
    <t>13:59S</t>
  </si>
  <si>
    <t>41:2485s</t>
  </si>
  <si>
    <t>199:671C</t>
  </si>
  <si>
    <t>47:101k</t>
  </si>
  <si>
    <t>2635M</t>
  </si>
  <si>
    <t>67:115C</t>
  </si>
  <si>
    <t>1183M</t>
  </si>
  <si>
    <t>169:323S</t>
  </si>
  <si>
    <t>625:4739s</t>
  </si>
  <si>
    <t>197:341M</t>
  </si>
  <si>
    <t>23:79C</t>
  </si>
  <si>
    <t>73:85C</t>
  </si>
  <si>
    <t>25:16727831C</t>
  </si>
  <si>
    <t>19:97C</t>
  </si>
  <si>
    <t>625:881C</t>
  </si>
  <si>
    <t>43:61C</t>
  </si>
  <si>
    <t>11:167n</t>
  </si>
  <si>
    <t>53:83C</t>
  </si>
  <si>
    <t>49:139C</t>
  </si>
  <si>
    <t>13:121C</t>
  </si>
  <si>
    <t>35:109M</t>
  </si>
  <si>
    <t>7:59n</t>
  </si>
  <si>
    <t>5:221C</t>
  </si>
  <si>
    <t>17:235M</t>
  </si>
  <si>
    <t>31:65C</t>
  </si>
  <si>
    <t>5:2431n</t>
  </si>
  <si>
    <t>1445C</t>
  </si>
  <si>
    <t>625:5789M</t>
  </si>
  <si>
    <t>31:97C</t>
  </si>
  <si>
    <t>499M</t>
  </si>
  <si>
    <t>1043411:5913325C</t>
  </si>
  <si>
    <t>43:65S</t>
  </si>
  <si>
    <t>71:401C</t>
  </si>
  <si>
    <t>55:343M</t>
  </si>
  <si>
    <t>47:83S</t>
  </si>
  <si>
    <t>5:113C</t>
  </si>
  <si>
    <t>19487171S</t>
  </si>
  <si>
    <t>1241:1753C</t>
  </si>
  <si>
    <t>49:71C</t>
  </si>
  <si>
    <t>5:79M</t>
  </si>
  <si>
    <t>5797C</t>
  </si>
  <si>
    <t>113:131M</t>
  </si>
  <si>
    <t>25:283C</t>
  </si>
  <si>
    <t>47:109M</t>
  </si>
  <si>
    <t>355:2009C</t>
  </si>
  <si>
    <t>11:71C</t>
  </si>
  <si>
    <t>49:169M</t>
  </si>
  <si>
    <t>29:41C</t>
  </si>
  <si>
    <t>199:563C</t>
  </si>
  <si>
    <t>49:103s</t>
  </si>
  <si>
    <t>19:131S</t>
  </si>
  <si>
    <t>7:275C</t>
  </si>
  <si>
    <t>7229:10223C</t>
  </si>
  <si>
    <t>7229:10223k</t>
  </si>
  <si>
    <t>19:131M</t>
  </si>
  <si>
    <t>49:103C</t>
  </si>
  <si>
    <t>199:563k</t>
  </si>
  <si>
    <t>29:41k</t>
  </si>
  <si>
    <t>49:169S</t>
  </si>
  <si>
    <t>19:43S</t>
  </si>
  <si>
    <t>355:2009k</t>
  </si>
  <si>
    <t>47:109S</t>
  </si>
  <si>
    <t>25:283k</t>
  </si>
  <si>
    <t>113:131S</t>
  </si>
  <si>
    <t>31:61M</t>
  </si>
  <si>
    <t>5797k</t>
  </si>
  <si>
    <t>1241:1753k</t>
  </si>
  <si>
    <t>19487171M</t>
  </si>
  <si>
    <t>5:113k</t>
  </si>
  <si>
    <t>55:343C</t>
  </si>
  <si>
    <t>71:401k</t>
  </si>
  <si>
    <t>1043411:5913325k</t>
  </si>
  <si>
    <t>31:97S</t>
  </si>
  <si>
    <t>625:5789S</t>
  </si>
  <si>
    <t>1445k</t>
  </si>
  <si>
    <t>5:2431C</t>
  </si>
  <si>
    <t>31:65k</t>
  </si>
  <si>
    <t>17:235S</t>
  </si>
  <si>
    <t>7:59C</t>
  </si>
  <si>
    <t>35:109C</t>
  </si>
  <si>
    <t>5:323S</t>
  </si>
  <si>
    <t>420175n</t>
  </si>
  <si>
    <t>13:121M</t>
  </si>
  <si>
    <t>49:139k</t>
  </si>
  <si>
    <t>53:83S</t>
  </si>
  <si>
    <t>11:167C</t>
  </si>
  <si>
    <t>43:61k</t>
  </si>
  <si>
    <t>43k</t>
  </si>
  <si>
    <t>625:881k</t>
  </si>
  <si>
    <t>19:97S</t>
  </si>
  <si>
    <t>125:2401n</t>
  </si>
  <si>
    <t>25:16727831S</t>
  </si>
  <si>
    <t>73:85M</t>
  </si>
  <si>
    <t>23:79M</t>
  </si>
  <si>
    <t>197:341S</t>
  </si>
  <si>
    <t>625:4739C</t>
  </si>
  <si>
    <t>169:323k</t>
  </si>
  <si>
    <t>1183S</t>
  </si>
  <si>
    <t>67:115M</t>
  </si>
  <si>
    <t>2695M</t>
  </si>
  <si>
    <t>2635C</t>
  </si>
  <si>
    <t>73:91s</t>
  </si>
  <si>
    <t>31:35C</t>
  </si>
  <si>
    <t>41:2485C</t>
  </si>
  <si>
    <t>83521S</t>
  </si>
  <si>
    <t>31:79S</t>
  </si>
  <si>
    <t>263:607M</t>
  </si>
  <si>
    <t>25:157S</t>
  </si>
  <si>
    <t>169:1159M</t>
  </si>
  <si>
    <t>7:53C</t>
  </si>
  <si>
    <t>625:7111s</t>
  </si>
  <si>
    <t>35:323M</t>
  </si>
  <si>
    <t>35:67C</t>
  </si>
  <si>
    <t>3179C</t>
  </si>
  <si>
    <t>1043411:7896355C</t>
  </si>
  <si>
    <t>35:46189C</t>
  </si>
  <si>
    <t>59:113C</t>
  </si>
  <si>
    <t>13:385C</t>
  </si>
  <si>
    <t>23:47M</t>
  </si>
  <si>
    <t>125:419k</t>
  </si>
  <si>
    <t>153125M</t>
  </si>
  <si>
    <t>5:280453M</t>
  </si>
  <si>
    <t>83:97M</t>
  </si>
  <si>
    <t>13:73n</t>
  </si>
  <si>
    <t>10571S</t>
  </si>
  <si>
    <t>35:73C</t>
  </si>
  <si>
    <t>62843C</t>
  </si>
  <si>
    <t>625:1937S</t>
  </si>
  <si>
    <t>55:71S</t>
  </si>
  <si>
    <t>47:49C</t>
  </si>
  <si>
    <t>133:169C</t>
  </si>
  <si>
    <t>331:625C</t>
  </si>
  <si>
    <t>37:71C</t>
  </si>
  <si>
    <t>923:3485C</t>
  </si>
  <si>
    <t>1568693:1662005C</t>
  </si>
  <si>
    <t>79:115S</t>
  </si>
  <si>
    <t>319:367M</t>
  </si>
  <si>
    <t>5:151C</t>
  </si>
  <si>
    <t>9181:15961M</t>
  </si>
  <si>
    <t>1043411:1105619C</t>
  </si>
  <si>
    <t>1568693:2960239C</t>
  </si>
  <si>
    <t>17:97s</t>
  </si>
  <si>
    <t>125:323S</t>
  </si>
  <si>
    <t>492181:1043411C</t>
  </si>
  <si>
    <t>2747:5183C</t>
  </si>
  <si>
    <t>625:1087M</t>
  </si>
  <si>
    <t>113:217C</t>
  </si>
  <si>
    <t>73:115C</t>
  </si>
  <si>
    <t>325C</t>
  </si>
  <si>
    <t>53:167C</t>
  </si>
  <si>
    <t>9181:10553M</t>
  </si>
  <si>
    <t>31:47S</t>
  </si>
  <si>
    <t>625:2357k</t>
  </si>
  <si>
    <t>8525C</t>
  </si>
  <si>
    <t>7:4199S</t>
  </si>
  <si>
    <t>5:2717k</t>
  </si>
  <si>
    <t>23:37k</t>
  </si>
  <si>
    <t>7:71C</t>
  </si>
  <si>
    <t>625:809S</t>
  </si>
  <si>
    <t>29M</t>
  </si>
  <si>
    <t>19:31C</t>
  </si>
  <si>
    <t>11:101M</t>
  </si>
  <si>
    <t>1043411:8866411k</t>
  </si>
  <si>
    <t>1357:2821C</t>
  </si>
  <si>
    <t>13:103S</t>
  </si>
  <si>
    <t>35:221C</t>
  </si>
  <si>
    <t>61:79S</t>
  </si>
  <si>
    <t>4805S</t>
  </si>
  <si>
    <t>13:53M</t>
  </si>
  <si>
    <t>625:3859S</t>
  </si>
  <si>
    <t>49:137k</t>
  </si>
  <si>
    <t>25:161k</t>
  </si>
  <si>
    <t>6125C</t>
  </si>
  <si>
    <t>9938375:265847707k</t>
  </si>
  <si>
    <t>17:95k</t>
  </si>
  <si>
    <t>31:77k</t>
  </si>
  <si>
    <t>121:455k</t>
  </si>
  <si>
    <t>1925k</t>
  </si>
  <si>
    <t>25:1173019k</t>
  </si>
  <si>
    <t>53:55C</t>
  </si>
  <si>
    <t>25:253C</t>
  </si>
  <si>
    <t>125:179k</t>
  </si>
  <si>
    <t>125:133k</t>
  </si>
  <si>
    <t>5:253C</t>
  </si>
  <si>
    <t>319:557M</t>
  </si>
  <si>
    <t>1243:1781k</t>
  </si>
  <si>
    <t>91:121C</t>
  </si>
  <si>
    <t>300125M</t>
  </si>
  <si>
    <t>49:151S</t>
  </si>
  <si>
    <t>18755M</t>
  </si>
  <si>
    <t>247C</t>
  </si>
  <si>
    <t>19:53C</t>
  </si>
  <si>
    <t>71:1435C</t>
  </si>
  <si>
    <t>11:79k</t>
  </si>
  <si>
    <t>5:341s</t>
  </si>
  <si>
    <t>91:97s</t>
  </si>
  <si>
    <t>7:187k</t>
  </si>
  <si>
    <t>61:77C</t>
  </si>
  <si>
    <t>49:209s</t>
  </si>
  <si>
    <t>65:103C</t>
  </si>
  <si>
    <t>125:631C</t>
  </si>
  <si>
    <t>1043411:5266621C</t>
  </si>
  <si>
    <t>323C</t>
  </si>
  <si>
    <t>35:2431C</t>
  </si>
  <si>
    <t>15841:25121C</t>
  </si>
  <si>
    <t>943:4757C</t>
  </si>
  <si>
    <t>55:79C</t>
  </si>
  <si>
    <t>413713:1043411C</t>
  </si>
  <si>
    <t>67:251n</t>
  </si>
  <si>
    <t>7:95C</t>
  </si>
  <si>
    <t>224099:355633C</t>
  </si>
  <si>
    <t>4675M</t>
  </si>
  <si>
    <t>169:361n</t>
  </si>
  <si>
    <t>1573M</t>
  </si>
  <si>
    <t>31:625C</t>
  </si>
  <si>
    <t>211:253s</t>
  </si>
  <si>
    <t>1977326743C</t>
  </si>
  <si>
    <t>13:131C</t>
  </si>
  <si>
    <t>217C</t>
  </si>
  <si>
    <t>625:3149C</t>
  </si>
  <si>
    <t>1568693:1975877C</t>
  </si>
  <si>
    <t>125:397C</t>
  </si>
  <si>
    <t>71:451C</t>
  </si>
  <si>
    <t>625:1919M</t>
  </si>
  <si>
    <t>121:125S</t>
  </si>
  <si>
    <t>24137569C</t>
  </si>
  <si>
    <t>113:359C</t>
  </si>
  <si>
    <t>7:1375M</t>
  </si>
  <si>
    <t>29:89M</t>
  </si>
  <si>
    <t>23:41C</t>
  </si>
  <si>
    <t>11:109C</t>
  </si>
  <si>
    <t>15841:19937C</t>
  </si>
  <si>
    <t>625:1573C</t>
  </si>
  <si>
    <t>91:131C</t>
  </si>
  <si>
    <t>13:445s</t>
  </si>
  <si>
    <t>94357C</t>
  </si>
  <si>
    <t>37:83C</t>
  </si>
  <si>
    <t>25:107s</t>
  </si>
  <si>
    <t>161C</t>
  </si>
  <si>
    <t>61:97C</t>
  </si>
  <si>
    <t>169:385S</t>
  </si>
  <si>
    <t>101:127C</t>
  </si>
  <si>
    <t>625:1631M</t>
  </si>
  <si>
    <t>625:3143C</t>
  </si>
  <si>
    <t>5:3553C</t>
  </si>
  <si>
    <t>1043411:6640867k</t>
  </si>
  <si>
    <t>1957:2821C</t>
  </si>
  <si>
    <t>5:89s</t>
  </si>
  <si>
    <t>15895S</t>
  </si>
  <si>
    <t>41:97C</t>
  </si>
  <si>
    <t>19:121k</t>
  </si>
  <si>
    <t>41:103k</t>
  </si>
  <si>
    <t>29:65C</t>
  </si>
  <si>
    <t>25:121C</t>
  </si>
  <si>
    <t>17:67M</t>
  </si>
  <si>
    <t>11:61C</t>
  </si>
  <si>
    <t>10285k</t>
  </si>
  <si>
    <t>125:971S</t>
  </si>
  <si>
    <t>29:49C</t>
  </si>
  <si>
    <t>25:5014657M</t>
  </si>
  <si>
    <t>73:83S</t>
  </si>
  <si>
    <t>1771561C</t>
  </si>
  <si>
    <t>1220703125S</t>
  </si>
  <si>
    <t>607:625S</t>
  </si>
  <si>
    <t>35:97C</t>
  </si>
  <si>
    <t>49:65C</t>
  </si>
  <si>
    <t>527S</t>
  </si>
  <si>
    <t>55:59k</t>
  </si>
  <si>
    <t>2197k</t>
  </si>
  <si>
    <t>410338673M</t>
  </si>
  <si>
    <t>17:55C</t>
  </si>
  <si>
    <t>121:193k</t>
  </si>
  <si>
    <t>67:371C</t>
  </si>
  <si>
    <t>59:67S</t>
  </si>
  <si>
    <t>17:73k</t>
  </si>
  <si>
    <t>625:3989k</t>
  </si>
  <si>
    <t>625:5141S</t>
  </si>
  <si>
    <t>7:31s</t>
  </si>
  <si>
    <t>55:89C</t>
  </si>
  <si>
    <t>125:931k</t>
  </si>
  <si>
    <t>23:133C</t>
  </si>
  <si>
    <t>13:83k</t>
  </si>
  <si>
    <t>63767S</t>
  </si>
  <si>
    <t>65:121k</t>
  </si>
  <si>
    <t>7:221M</t>
  </si>
  <si>
    <t>14641C</t>
  </si>
  <si>
    <t>214358881k</t>
  </si>
  <si>
    <t>1043411:7034083C</t>
  </si>
  <si>
    <t>25:779S</t>
  </si>
  <si>
    <t>5989:6439C</t>
  </si>
  <si>
    <t>37:97M</t>
  </si>
  <si>
    <t>35:247S</t>
  </si>
  <si>
    <t>5:539C</t>
  </si>
  <si>
    <t>11:59C</t>
  </si>
  <si>
    <t>17:229C</t>
  </si>
  <si>
    <t>53:307C</t>
  </si>
  <si>
    <t>25:109S</t>
  </si>
  <si>
    <t>77:79M</t>
  </si>
  <si>
    <t>113S</t>
  </si>
  <si>
    <t>59:127C</t>
  </si>
  <si>
    <t>41:125M</t>
  </si>
  <si>
    <t>7:377C</t>
  </si>
  <si>
    <t>35:1331C</t>
  </si>
  <si>
    <t>199:473C</t>
  </si>
  <si>
    <t>19:101C</t>
  </si>
  <si>
    <t>13:175C</t>
  </si>
  <si>
    <t>17:77S</t>
  </si>
  <si>
    <t>46225:413449C</t>
  </si>
  <si>
    <t>625:743C</t>
  </si>
  <si>
    <t>79C</t>
  </si>
  <si>
    <t>5:107C</t>
  </si>
  <si>
    <t>1633:2747C</t>
  </si>
  <si>
    <t>1568693:1865285C</t>
  </si>
  <si>
    <t>11:311S</t>
  </si>
  <si>
    <t>29:205S</t>
  </si>
  <si>
    <t>61:125M</t>
  </si>
  <si>
    <t>1568693:2636887C</t>
  </si>
  <si>
    <t>1953125:420189749C</t>
  </si>
  <si>
    <t>13:43k</t>
  </si>
  <si>
    <t>12427:31031n</t>
  </si>
  <si>
    <t>438289:1043411C</t>
  </si>
  <si>
    <t>31:115C</t>
  </si>
  <si>
    <t>28985C</t>
  </si>
  <si>
    <t>41:781C</t>
  </si>
  <si>
    <t>425k</t>
  </si>
  <si>
    <t>43:85S</t>
  </si>
  <si>
    <t>125:12167M</t>
  </si>
  <si>
    <t>1043411:4971709C</t>
  </si>
  <si>
    <t>275:343s</t>
  </si>
  <si>
    <t>5:1859S</t>
  </si>
  <si>
    <t>319:485M</t>
  </si>
  <si>
    <t>563:671C</t>
  </si>
  <si>
    <t>11:95C</t>
  </si>
  <si>
    <t>29:143C</t>
  </si>
  <si>
    <t>60025S</t>
  </si>
  <si>
    <t>625:6881S</t>
  </si>
  <si>
    <t>81685s</t>
  </si>
  <si>
    <t>1071875M</t>
  </si>
  <si>
    <t>23:91S</t>
  </si>
  <si>
    <t>65:109C</t>
  </si>
  <si>
    <t>35:137M</t>
  </si>
  <si>
    <t>17:41k</t>
  </si>
  <si>
    <t>49:15625s</t>
  </si>
  <si>
    <t>65:71S</t>
  </si>
  <si>
    <t>25:2631019s</t>
  </si>
  <si>
    <t>5:497483S</t>
  </si>
  <si>
    <t>119:211C</t>
  </si>
  <si>
    <t>49:3125C</t>
  </si>
  <si>
    <t>49:61k</t>
  </si>
  <si>
    <t>47:449k</t>
  </si>
  <si>
    <t>625:6869S</t>
  </si>
  <si>
    <t>473:533C</t>
  </si>
  <si>
    <t>637k</t>
  </si>
  <si>
    <t>73:149M</t>
  </si>
  <si>
    <t>5:1183C</t>
  </si>
  <si>
    <t>43:47S</t>
  </si>
  <si>
    <t>7:2717S</t>
  </si>
  <si>
    <t>29:35k</t>
  </si>
  <si>
    <t>13175k</t>
  </si>
  <si>
    <t>125:1457S</t>
  </si>
  <si>
    <t>125:563C</t>
  </si>
  <si>
    <t>319:421S</t>
  </si>
  <si>
    <t>121:131C</t>
  </si>
  <si>
    <t>9181:13913S</t>
  </si>
  <si>
    <t>25:2401C</t>
  </si>
  <si>
    <t>35:169k</t>
  </si>
  <si>
    <t>9181:12121S</t>
  </si>
  <si>
    <t>29:97k</t>
  </si>
  <si>
    <t>17:103S</t>
  </si>
  <si>
    <t>125:209k</t>
  </si>
  <si>
    <t>7:67k</t>
  </si>
  <si>
    <t>5:161S</t>
  </si>
  <si>
    <t>179707S</t>
  </si>
  <si>
    <t>775S</t>
  </si>
  <si>
    <t>5:1055723k</t>
  </si>
  <si>
    <t>13:185C</t>
  </si>
  <si>
    <t>95:169C</t>
  </si>
  <si>
    <t>1043411:4691773C</t>
  </si>
  <si>
    <t>77:137C</t>
  </si>
  <si>
    <t>7:139k</t>
  </si>
  <si>
    <t>17:121C</t>
  </si>
  <si>
    <t>7:113S</t>
  </si>
  <si>
    <t>343:625M</t>
  </si>
  <si>
    <t>125:403k</t>
  </si>
  <si>
    <t>91:109k</t>
  </si>
  <si>
    <t>25:529S</t>
  </si>
  <si>
    <t>31:41S</t>
  </si>
  <si>
    <t>49:79k</t>
  </si>
  <si>
    <t>765625S</t>
  </si>
  <si>
    <t>269297:479545C</t>
  </si>
  <si>
    <t>109375s</t>
  </si>
  <si>
    <t>25:31C</t>
  </si>
  <si>
    <t>65:73C</t>
  </si>
  <si>
    <t>464533:1043411C</t>
  </si>
  <si>
    <t>52855C</t>
  </si>
  <si>
    <t>61:137C</t>
  </si>
  <si>
    <t>11:133S</t>
  </si>
  <si>
    <t>137:221C</t>
  </si>
  <si>
    <t>5:847S</t>
  </si>
  <si>
    <t>29:71S</t>
  </si>
  <si>
    <t>224099:399193C</t>
  </si>
  <si>
    <t>13:47k</t>
  </si>
  <si>
    <t>533029M</t>
  </si>
  <si>
    <t>625:8909C</t>
  </si>
  <si>
    <t>307s</t>
  </si>
  <si>
    <t>143:343s</t>
  </si>
  <si>
    <t>625:5611C</t>
  </si>
  <si>
    <t>1568693:1760309C</t>
  </si>
  <si>
    <t>4913s</t>
  </si>
  <si>
    <t>37:49S</t>
  </si>
  <si>
    <t>67:83C</t>
  </si>
  <si>
    <t>15625:561001C</t>
  </si>
  <si>
    <t>13:113C</t>
  </si>
  <si>
    <t>41:67S</t>
  </si>
  <si>
    <t>49:67M</t>
  </si>
  <si>
    <t>269297:302065C</t>
  </si>
  <si>
    <t>25:323C</t>
  </si>
  <si>
    <t>44795M</t>
  </si>
  <si>
    <t>97:173C</t>
  </si>
  <si>
    <t>55:83S</t>
  </si>
  <si>
    <t>625:2803C</t>
  </si>
  <si>
    <t>589:805M</t>
  </si>
  <si>
    <t>25847:31031n</t>
  </si>
  <si>
    <t>625:5437C</t>
  </si>
  <si>
    <t>11:157C</t>
  </si>
  <si>
    <t>199:239n</t>
  </si>
  <si>
    <t>1705n</t>
  </si>
  <si>
    <t>133:149C</t>
  </si>
  <si>
    <t>13:71M</t>
  </si>
  <si>
    <t>5005S</t>
  </si>
  <si>
    <t>109:131n</t>
  </si>
  <si>
    <t>1043411:7453987C</t>
  </si>
  <si>
    <t>13:125n</t>
  </si>
  <si>
    <t>29:193n</t>
  </si>
  <si>
    <t>19:169s</t>
  </si>
  <si>
    <t>47:113n</t>
  </si>
  <si>
    <t>29:85M</t>
  </si>
  <si>
    <t>390625C</t>
  </si>
  <si>
    <t>29:77C</t>
  </si>
  <si>
    <t>55:101S</t>
  </si>
  <si>
    <t>37:73M</t>
  </si>
  <si>
    <t>5:259C</t>
  </si>
  <si>
    <t>67:73S</t>
  </si>
  <si>
    <t>625:2797C</t>
  </si>
  <si>
    <t>5:133s</t>
  </si>
  <si>
    <t>25:67C</t>
  </si>
  <si>
    <t>91:605s</t>
  </si>
  <si>
    <t>83:487M</t>
  </si>
  <si>
    <t>7:15625S</t>
  </si>
  <si>
    <t>25:367S</t>
  </si>
  <si>
    <t>19:85C</t>
  </si>
  <si>
    <t>73:97C</t>
  </si>
  <si>
    <t>215:643C</t>
  </si>
  <si>
    <t>199:217S</t>
  </si>
  <si>
    <t>29:47C</t>
  </si>
  <si>
    <t>7:78125M</t>
  </si>
  <si>
    <t>77:95C</t>
  </si>
  <si>
    <t>31:251S</t>
  </si>
  <si>
    <t>98549C</t>
  </si>
  <si>
    <t>253S</t>
  </si>
  <si>
    <t>25:83k</t>
  </si>
  <si>
    <t>109:145C</t>
  </si>
  <si>
    <t>11:89S</t>
  </si>
  <si>
    <t>103:115k</t>
  </si>
  <si>
    <t>11:73k</t>
  </si>
  <si>
    <t>115:169M</t>
  </si>
  <si>
    <t>43:53C</t>
  </si>
  <si>
    <t>3751S</t>
  </si>
  <si>
    <t>13:625C</t>
  </si>
  <si>
    <t>181:241C</t>
  </si>
  <si>
    <t>49:89M</t>
  </si>
  <si>
    <t>25:437S</t>
  </si>
  <si>
    <t>53:95k</t>
  </si>
  <si>
    <t>1043411:6267619C</t>
  </si>
  <si>
    <t>197:355n</t>
  </si>
  <si>
    <t>61:67M</t>
  </si>
  <si>
    <t>341C</t>
  </si>
  <si>
    <t>59:79C</t>
  </si>
  <si>
    <t>49:97S</t>
  </si>
  <si>
    <t>35:2717C</t>
  </si>
  <si>
    <t>25:101S</t>
  </si>
  <si>
    <t>11:97M</t>
  </si>
  <si>
    <t>37:61C</t>
  </si>
  <si>
    <t>17:61k</t>
  </si>
  <si>
    <t>8959S</t>
  </si>
  <si>
    <t>25:91M</t>
  </si>
  <si>
    <t>73:131k</t>
  </si>
  <si>
    <t>91:1331S</t>
  </si>
  <si>
    <t>5:713k</t>
  </si>
  <si>
    <t>7:551C</t>
  </si>
  <si>
    <t>7:3553S</t>
  </si>
  <si>
    <t>13:95S</t>
  </si>
  <si>
    <t>55:91k</t>
  </si>
  <si>
    <t>244140625M</t>
  </si>
  <si>
    <t>625:3337C</t>
  </si>
  <si>
    <t>1568693:2093975C</t>
  </si>
  <si>
    <t>53:59k</t>
  </si>
  <si>
    <t>23:403S</t>
  </si>
  <si>
    <t>935S</t>
  </si>
  <si>
    <t>5:1573C</t>
  </si>
  <si>
    <t>115k</t>
  </si>
  <si>
    <t>125:749C</t>
  </si>
  <si>
    <t>31:125S</t>
  </si>
  <si>
    <t>21875C</t>
  </si>
  <si>
    <t>161051C</t>
  </si>
  <si>
    <t>1568693:2349463C</t>
  </si>
  <si>
    <t>127S</t>
  </si>
  <si>
    <t>37:133k</t>
  </si>
  <si>
    <t>71:1517C</t>
  </si>
  <si>
    <t>71:79s</t>
  </si>
  <si>
    <t>35:187C</t>
  </si>
  <si>
    <t>3767:6157S</t>
  </si>
  <si>
    <t>13:85S</t>
  </si>
  <si>
    <t>37:41s</t>
  </si>
  <si>
    <t>79:97C</t>
  </si>
  <si>
    <t>390385:1043411C</t>
  </si>
  <si>
    <t>13:139C</t>
  </si>
  <si>
    <t>19:4375s</t>
  </si>
  <si>
    <t>49:715M</t>
  </si>
  <si>
    <t>133:199C</t>
  </si>
  <si>
    <t>49:131C</t>
  </si>
  <si>
    <t>155C</t>
  </si>
  <si>
    <t>77:155S</t>
  </si>
  <si>
    <t>1043411:5581549C</t>
  </si>
  <si>
    <t>845C</t>
  </si>
  <si>
    <t>89:133C</t>
  </si>
  <si>
    <t>17:151n</t>
  </si>
  <si>
    <t>7:1787C</t>
  </si>
  <si>
    <t>17:245n</t>
  </si>
  <si>
    <t>3767:6805s</t>
  </si>
  <si>
    <t>113:137C</t>
  </si>
  <si>
    <t>5:97C</t>
  </si>
  <si>
    <t>13:343C</t>
  </si>
  <si>
    <t>19:137n</t>
  </si>
  <si>
    <t>209C</t>
  </si>
  <si>
    <t>211C</t>
  </si>
  <si>
    <t>5:637C</t>
  </si>
  <si>
    <t>35:209C</t>
  </si>
  <si>
    <t>35:47k</t>
  </si>
  <si>
    <t>2057C</t>
  </si>
  <si>
    <t>625:1021S</t>
  </si>
  <si>
    <t>65:97C</t>
  </si>
  <si>
    <t>23:137k</t>
  </si>
  <si>
    <t>5:119k</t>
  </si>
  <si>
    <t>3767:4583C</t>
  </si>
  <si>
    <t>3767:4151M</t>
  </si>
  <si>
    <t>7:247M</t>
  </si>
  <si>
    <t>5:527C</t>
  </si>
  <si>
    <t>473185s</t>
  </si>
  <si>
    <t>625:1529S</t>
  </si>
  <si>
    <t>7:167C</t>
  </si>
  <si>
    <t>53:79C</t>
  </si>
  <si>
    <t>47:77S</t>
  </si>
  <si>
    <t>16337C</t>
  </si>
  <si>
    <t>1043411:8368747C</t>
  </si>
  <si>
    <t>49:73k</t>
  </si>
  <si>
    <t>5:391S</t>
  </si>
  <si>
    <t>1859M</t>
  </si>
  <si>
    <t>13:253C</t>
  </si>
  <si>
    <t>5:131S</t>
  </si>
  <si>
    <t>2100875C</t>
  </si>
  <si>
    <t>13:115k</t>
  </si>
  <si>
    <t>625:763S</t>
  </si>
  <si>
    <t>625:6103S</t>
  </si>
  <si>
    <t>41:61k</t>
  </si>
  <si>
    <t>625:2497C</t>
  </si>
  <si>
    <t>41:2627C</t>
  </si>
  <si>
    <t>25:41S</t>
  </si>
  <si>
    <t>3767:5069k</t>
  </si>
  <si>
    <t>5:4199S</t>
  </si>
  <si>
    <t>73:89S</t>
  </si>
  <si>
    <t>25:343L</t>
  </si>
  <si>
    <t>2375L</t>
  </si>
  <si>
    <t>7:275L</t>
  </si>
  <si>
    <t>19:35L</t>
  </si>
  <si>
    <t>23:25L</t>
  </si>
  <si>
    <t>(|).</t>
  </si>
  <si>
    <t>595M</t>
  </si>
  <si>
    <t>3179L</t>
  </si>
  <si>
    <t>7:65L</t>
  </si>
  <si>
    <t>17:25L</t>
  </si>
  <si>
    <t>4235L</t>
  </si>
  <si>
    <t>17:37L</t>
  </si>
  <si>
    <t>175L</t>
  </si>
  <si>
    <t>)|).</t>
  </si>
  <si>
    <t>)//|</t>
  </si>
  <si>
    <t>)/|\</t>
  </si>
  <si>
    <t>)/|\'</t>
  </si>
  <si>
    <t>)/|\.</t>
  </si>
  <si>
    <t>)/|\''</t>
  </si>
  <si>
    <t>)|\\</t>
  </si>
  <si>
    <t>)|\\'</t>
  </si>
  <si>
    <t>)//|.</t>
  </si>
  <si>
    <t>|~''</t>
  </si>
  <si>
    <t>Pop1</t>
  </si>
  <si>
    <t>Pop2</t>
  </si>
  <si>
    <t>35C</t>
  </si>
  <si>
    <t>5:11C</t>
  </si>
  <si>
    <t>5:49S</t>
  </si>
  <si>
    <t>13S</t>
  </si>
  <si>
    <t>625C</t>
  </si>
  <si>
    <t>29k</t>
  </si>
  <si>
    <t>7:17M</t>
  </si>
  <si>
    <t>13:35k</t>
  </si>
  <si>
    <t>7:19k</t>
  </si>
  <si>
    <t>95k</t>
  </si>
  <si>
    <t>17:23s</t>
  </si>
  <si>
    <t>23:31k</t>
  </si>
  <si>
    <t>17:31C</t>
  </si>
  <si>
    <t>13:77n</t>
  </si>
  <si>
    <t>19:23M</t>
  </si>
  <si>
    <t>47C</t>
  </si>
  <si>
    <t>11:97C</t>
  </si>
  <si>
    <t>5005C</t>
  </si>
  <si>
    <t>19:31S</t>
  </si>
  <si>
    <t>11:65s</t>
  </si>
  <si>
    <t>847M</t>
  </si>
  <si>
    <t>5:73C</t>
  </si>
  <si>
    <t>7:275S</t>
  </si>
  <si>
    <t>25:37n</t>
  </si>
  <si>
    <t>49:89C</t>
  </si>
  <si>
    <t>7:115S</t>
  </si>
  <si>
    <t>41:67C</t>
  </si>
  <si>
    <t>29:71C</t>
  </si>
  <si>
    <t>7:247k</t>
  </si>
  <si>
    <t>77:125S</t>
  </si>
  <si>
    <t>5:59k</t>
  </si>
  <si>
    <t>17:25k</t>
  </si>
  <si>
    <t>29:43s</t>
  </si>
  <si>
    <t>25:121M</t>
  </si>
  <si>
    <t>3767:5581s</t>
  </si>
  <si>
    <t>47:77C</t>
  </si>
  <si>
    <t>343:625C</t>
  </si>
  <si>
    <t>3767:4151C</t>
  </si>
  <si>
    <t>3767:4583S</t>
  </si>
  <si>
    <t>5:161C</t>
  </si>
  <si>
    <t>5:323k</t>
  </si>
  <si>
    <t>13:85C</t>
  </si>
  <si>
    <t>3767:6157C</t>
  </si>
  <si>
    <t>244140625C</t>
  </si>
  <si>
    <t>25:91C</t>
  </si>
  <si>
    <t>37:61M</t>
  </si>
  <si>
    <t>35:2717M</t>
  </si>
  <si>
    <t>13:43M</t>
  </si>
  <si>
    <t>61:67C</t>
  </si>
  <si>
    <t>61:83k</t>
  </si>
  <si>
    <t>13:103k</t>
  </si>
  <si>
    <t>19:103k</t>
  </si>
  <si>
    <t>7:151s</t>
  </si>
  <si>
    <t>73:89C</t>
  </si>
  <si>
    <t>5:4199C</t>
  </si>
  <si>
    <t>25:41C</t>
  </si>
  <si>
    <t>625:6103C</t>
  </si>
  <si>
    <t>625:763C</t>
  </si>
  <si>
    <t>5:131C</t>
  </si>
  <si>
    <t>31:335n</t>
  </si>
  <si>
    <t>13:253M</t>
  </si>
  <si>
    <t>1859C</t>
  </si>
  <si>
    <t>5:391C</t>
  </si>
  <si>
    <t>421:623n</t>
  </si>
  <si>
    <t>625:1529C</t>
  </si>
  <si>
    <t>5:527M</t>
  </si>
  <si>
    <t>7:113k</t>
  </si>
  <si>
    <t>625:1021C</t>
  </si>
  <si>
    <t>1419857s</t>
  </si>
  <si>
    <t>211M</t>
  </si>
  <si>
    <t>209S</t>
  </si>
  <si>
    <t>13:343M</t>
  </si>
  <si>
    <t>5:97M</t>
  </si>
  <si>
    <t>113:137M</t>
  </si>
  <si>
    <t>845M</t>
  </si>
  <si>
    <t>43:47C</t>
  </si>
  <si>
    <t>77:155C</t>
  </si>
  <si>
    <t>155M</t>
  </si>
  <si>
    <t>7:2431k</t>
  </si>
  <si>
    <t>49:715C</t>
  </si>
  <si>
    <t>49:121M</t>
  </si>
  <si>
    <t>79:97S</t>
  </si>
  <si>
    <t>65:71C</t>
  </si>
  <si>
    <t>127k</t>
  </si>
  <si>
    <t>161051S</t>
  </si>
  <si>
    <t>31:125k</t>
  </si>
  <si>
    <t>5:1573S</t>
  </si>
  <si>
    <t>935C</t>
  </si>
  <si>
    <t>23:403C</t>
  </si>
  <si>
    <t>23:91k</t>
  </si>
  <si>
    <t>55:91M</t>
  </si>
  <si>
    <t>13:95C</t>
  </si>
  <si>
    <t>23:125k</t>
  </si>
  <si>
    <t>7:3553k</t>
  </si>
  <si>
    <t>60025C</t>
  </si>
  <si>
    <t>29:143S</t>
  </si>
  <si>
    <t>7:551S</t>
  </si>
  <si>
    <t>71:193k</t>
  </si>
  <si>
    <t>91:1331C</t>
  </si>
  <si>
    <t>8959C</t>
  </si>
  <si>
    <t>5:79n</t>
  </si>
  <si>
    <t>25:101k</t>
  </si>
  <si>
    <t>49:97k</t>
  </si>
  <si>
    <t>25:437C</t>
  </si>
  <si>
    <t>3751C</t>
  </si>
  <si>
    <t>43:53S</t>
  </si>
  <si>
    <t>115:169C</t>
  </si>
  <si>
    <t>19:77n</t>
  </si>
  <si>
    <t>79M</t>
  </si>
  <si>
    <t>77:95M</t>
  </si>
  <si>
    <t>25:109C</t>
  </si>
  <si>
    <t>7:78125C</t>
  </si>
  <si>
    <t>29:47M</t>
  </si>
  <si>
    <t>199:217C</t>
  </si>
  <si>
    <t>25:367C</t>
  </si>
  <si>
    <t>7:15625C</t>
  </si>
  <si>
    <t>83:487C</t>
  </si>
  <si>
    <t>7:61C</t>
  </si>
  <si>
    <t>67:73C</t>
  </si>
  <si>
    <t>7:221n</t>
  </si>
  <si>
    <t>5:259M</t>
  </si>
  <si>
    <t>7:23L</t>
  </si>
  <si>
    <t>5:187L</t>
  </si>
  <si>
    <t>37L</t>
  </si>
  <si>
    <t>.~|</t>
  </si>
  <si>
    <t>19:55L</t>
  </si>
  <si>
    <t>31L</t>
  </si>
  <si>
    <t>247L</t>
  </si>
  <si>
    <t>Weighted</t>
  </si>
  <si>
    <t>Complexity</t>
  </si>
  <si>
    <t>Popularity Ranking</t>
  </si>
  <si>
    <t>Slope</t>
  </si>
  <si>
    <t>***** Continue here *****</t>
  </si>
  <si>
    <t>Prime</t>
  </si>
  <si>
    <t>Limit</t>
  </si>
  <si>
    <t>&gt;47</t>
  </si>
  <si>
    <t>SoCA</t>
  </si>
  <si>
    <t>Alt-SoCA</t>
  </si>
  <si>
    <t>.)|..</t>
  </si>
  <si>
    <t>.)|</t>
  </si>
  <si>
    <t>)|..</t>
  </si>
  <si>
    <t>7s</t>
  </si>
  <si>
    <t>.~|'</t>
  </si>
  <si>
    <t>~|..</t>
  </si>
  <si>
    <t>)|'</t>
  </si>
  <si>
    <t>343:1375s</t>
  </si>
  <si>
    <t>~|.</t>
  </si>
  <si>
    <t>)|(..</t>
  </si>
  <si>
    <t>Super-Olympian</t>
  </si>
  <si>
    <t>Divider</t>
  </si>
  <si>
    <t>)~|..</t>
  </si>
  <si>
    <t>)~|.</t>
  </si>
  <si>
    <t>4125C</t>
  </si>
  <si>
    <t>)~|'</t>
  </si>
  <si>
    <t>.~|(''</t>
  </si>
  <si>
    <t>.|~</t>
  </si>
  <si>
    <t>~|(''</t>
  </si>
  <si>
    <t>)~|''</t>
  </si>
  <si>
    <t>'~|(.</t>
  </si>
  <si>
    <t>'~|(</t>
  </si>
  <si>
    <t>.)|~</t>
  </si>
  <si>
    <t>13:17L</t>
  </si>
  <si>
    <t>'|~'</t>
  </si>
  <si>
    <t>./|'</t>
  </si>
  <si>
    <t>)|~''</t>
  </si>
  <si>
    <t>')|~'</t>
  </si>
  <si>
    <t>.)/|</t>
  </si>
  <si>
    <t>)/|..</t>
  </si>
  <si>
    <t>)/|'</t>
  </si>
  <si>
    <t>Comments</t>
  </si>
  <si>
    <t>77:257C</t>
  </si>
  <si>
    <t>.)|)..</t>
  </si>
  <si>
    <t>65:539C</t>
  </si>
  <si>
    <t>11C</t>
  </si>
  <si>
    <t>)|)..</t>
  </si>
  <si>
    <t>.(|</t>
  </si>
  <si>
    <t>'|\.</t>
  </si>
  <si>
    <t>.~|)</t>
  </si>
  <si>
    <t>'(|</t>
  </si>
  <si>
    <t>~|)''</t>
  </si>
  <si>
    <t>'~|)</t>
  </si>
  <si>
    <t>'(|(.</t>
  </si>
  <si>
    <t>'(|(</t>
  </si>
  <si>
    <t>)//|'</t>
  </si>
  <si>
    <t>)//|''</t>
  </si>
  <si>
    <t>1495M</t>
  </si>
  <si>
    <t>11:325M</t>
  </si>
  <si>
    <t>(|~.</t>
  </si>
  <si>
    <t>19:48125M</t>
  </si>
  <si>
    <t>65:847M</t>
  </si>
  <si>
    <t>475:8281M</t>
  </si>
  <si>
    <t>(|)'</t>
  </si>
  <si>
    <t>(|)''</t>
  </si>
  <si>
    <t>.(|\'</t>
  </si>
  <si>
    <t>121:125L</t>
  </si>
  <si>
    <t>5:1859L</t>
  </si>
  <si>
    <t>11:91L</t>
  </si>
  <si>
    <t>25:49L</t>
  </si>
  <si>
    <t>13:85L</t>
  </si>
  <si>
    <t>5:209L</t>
  </si>
  <si>
    <t>13:121L</t>
  </si>
  <si>
    <t>7:247L</t>
  </si>
  <si>
    <t>(/|.</t>
  </si>
  <si>
    <t>7:19M</t>
  </si>
  <si>
    <t>|\)'</t>
  </si>
  <si>
    <t>25:29L</t>
  </si>
  <si>
    <t>11:1225L</t>
  </si>
  <si>
    <t>3125L</t>
  </si>
  <si>
    <t>7:29L</t>
  </si>
  <si>
    <t>49:169L</t>
  </si>
  <si>
    <t>5:221L</t>
  </si>
  <si>
    <t>5:391L</t>
  </si>
  <si>
    <t>5005L</t>
  </si>
  <si>
    <t>5:23L</t>
  </si>
  <si>
    <t>65:847L</t>
  </si>
  <si>
    <t>23:143L</t>
  </si>
  <si>
    <t>60025L</t>
  </si>
  <si>
    <t>35:2431L</t>
  </si>
  <si>
    <t>221L</t>
  </si>
  <si>
    <t>25:437L</t>
  </si>
  <si>
    <t>1001L</t>
  </si>
  <si>
    <t>7:1375L</t>
  </si>
  <si>
    <t>5:1573L</t>
  </si>
  <si>
    <t>17:35L</t>
  </si>
  <si>
    <t>11:43L</t>
  </si>
  <si>
    <t>13:343L</t>
  </si>
  <si>
    <t>25:91L</t>
  </si>
  <si>
    <t>5:247L</t>
  </si>
  <si>
    <t>23:133L</t>
  </si>
  <si>
    <t>125:343L</t>
  </si>
  <si>
    <t>35:121L</t>
  </si>
  <si>
    <t>1573L</t>
  </si>
  <si>
    <t>7:17L</t>
  </si>
  <si>
    <t>7:41L</t>
  </si>
  <si>
    <t>91:1331L</t>
  </si>
  <si>
    <t>23:35L</t>
  </si>
  <si>
    <t>49:85L</t>
  </si>
  <si>
    <t>11:325L</t>
  </si>
  <si>
    <t>133L</t>
  </si>
  <si>
    <t>13:95L</t>
  </si>
  <si>
    <t>343:625L</t>
  </si>
  <si>
    <t>55:343L</t>
  </si>
  <si>
    <t>35:323L</t>
  </si>
  <si>
    <t>19:65L</t>
  </si>
  <si>
    <t>1495L</t>
  </si>
  <si>
    <t>935L</t>
  </si>
  <si>
    <t>5:1183L</t>
  </si>
  <si>
    <t>1331L</t>
  </si>
  <si>
    <t>19:37L</t>
  </si>
  <si>
    <t>19:25L</t>
  </si>
  <si>
    <t>7:115L</t>
  </si>
  <si>
    <t>1183L</t>
  </si>
  <si>
    <t>11:455L</t>
  </si>
  <si>
    <t>47L</t>
  </si>
  <si>
    <t>19:23L</t>
  </si>
  <si>
    <t>19:29L</t>
  </si>
  <si>
    <t>35:143L</t>
  </si>
  <si>
    <t>'|\).</t>
  </si>
  <si>
    <t>19:48125L</t>
  </si>
  <si>
    <t>|\\'</t>
  </si>
  <si>
    <t>)|\\..</t>
  </si>
  <si>
    <t>)|\\.</t>
  </si>
  <si>
    <t>Boundary</t>
  </si>
  <si>
    <t>Test</t>
  </si>
  <si>
    <t>Alt. 13:125n (255879:256000)</t>
  </si>
  <si>
    <t>Alt. 4375n (4374:4375)</t>
  </si>
  <si>
    <t>Same</t>
  </si>
  <si>
    <t>SoF</t>
  </si>
  <si>
    <t>13:6125M</t>
  </si>
  <si>
    <t>13:6125L</t>
  </si>
  <si>
    <t>Dev.1</t>
  </si>
  <si>
    <t>Dev.2</t>
  </si>
  <si>
    <t>5:31L</t>
  </si>
  <si>
    <t>cents</t>
  </si>
  <si>
    <t>7:3125L</t>
  </si>
  <si>
    <t>29L</t>
  </si>
  <si>
    <t>'~~|</t>
  </si>
  <si>
    <t>.(|(.</t>
  </si>
  <si>
    <t>Dev.M</t>
  </si>
  <si>
    <t>.(/|'</t>
  </si>
  <si>
    <t>'/|).</t>
  </si>
  <si>
    <t>.~|..</t>
  </si>
  <si>
    <t>~|''</t>
  </si>
  <si>
    <t>Y</t>
  </si>
  <si>
    <t>.(|'</t>
  </si>
  <si>
    <t>(|..</t>
  </si>
  <si>
    <t>7:61L</t>
  </si>
  <si>
    <t>19:31L</t>
  </si>
  <si>
    <t>Olympian-level split?</t>
  </si>
  <si>
    <t>Athenian-level limit:</t>
  </si>
  <si>
    <t>Promethean-level split?</t>
  </si>
  <si>
    <t>Y / N</t>
  </si>
  <si>
    <t>prime #</t>
  </si>
  <si>
    <t>.|)'</t>
  </si>
  <si>
    <t>'(|.</t>
  </si>
  <si>
    <t>'/|\'</t>
  </si>
  <si>
    <t>.(|).</t>
  </si>
  <si>
    <t>Herculean-level split?</t>
  </si>
  <si>
    <t>N / Y / X</t>
  </si>
  <si>
    <t>X</t>
  </si>
  <si>
    <t>Olympian (X) Symbol Boundaries</t>
  </si>
  <si>
    <t>~|\..</t>
  </si>
  <si>
    <t>~|\.</t>
  </si>
  <si>
    <t>SoCA = "sum of core and accents" = sum of core and diacritics</t>
  </si>
</sst>
</file>

<file path=xl/styles.xml><?xml version="1.0" encoding="utf-8"?>
<styleSheet xmlns="http://schemas.openxmlformats.org/spreadsheetml/2006/main">
  <numFmts count="3">
    <numFmt numFmtId="172" formatCode="0.000"/>
    <numFmt numFmtId="173" formatCode="0.00000"/>
    <numFmt numFmtId="175" formatCode="[&lt;&gt;0]General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4"/>
      <name val="Times New Roman"/>
      <family val="1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7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72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2" fontId="0" fillId="0" borderId="0" xfId="0" applyNumberFormat="1"/>
    <xf numFmtId="0" fontId="2" fillId="0" borderId="0" xfId="0" quotePrefix="1" applyFont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quotePrefix="1"/>
    <xf numFmtId="1" fontId="2" fillId="5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4" fillId="0" borderId="0" xfId="0" applyNumberFormat="1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0" fontId="5" fillId="0" borderId="0" xfId="0" quotePrefix="1" applyFont="1" applyAlignment="1">
      <alignment horizontal="center"/>
    </xf>
    <xf numFmtId="172" fontId="3" fillId="0" borderId="0" xfId="0" applyNumberFormat="1" applyFont="1" applyAlignment="1">
      <alignment horizontal="right"/>
    </xf>
    <xf numFmtId="173" fontId="3" fillId="0" borderId="0" xfId="0" applyNumberFormat="1" applyFon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3" fontId="4" fillId="0" borderId="0" xfId="0" applyNumberFormat="1" applyFont="1" applyBorder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3" fillId="4" borderId="0" xfId="0" applyFont="1" applyFill="1"/>
    <xf numFmtId="0" fontId="3" fillId="2" borderId="0" xfId="0" applyFont="1" applyFill="1"/>
    <xf numFmtId="0" fontId="3" fillId="6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6" borderId="0" xfId="0" quotePrefix="1" applyFont="1" applyFill="1" applyAlignment="1">
      <alignment horizontal="center"/>
    </xf>
    <xf numFmtId="1" fontId="2" fillId="6" borderId="0" xfId="0" applyNumberFormat="1" applyFont="1" applyFill="1" applyAlignment="1">
      <alignment horizontal="center"/>
    </xf>
    <xf numFmtId="0" fontId="2" fillId="4" borderId="0" xfId="0" quotePrefix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7" borderId="0" xfId="0" applyFont="1" applyFill="1"/>
    <xf numFmtId="0" fontId="3" fillId="8" borderId="0" xfId="0" applyFont="1" applyFill="1"/>
    <xf numFmtId="0" fontId="5" fillId="0" borderId="0" xfId="0" applyFont="1" applyFill="1" applyBorder="1" applyAlignment="1">
      <alignment horizontal="center"/>
    </xf>
    <xf numFmtId="1" fontId="4" fillId="4" borderId="0" xfId="0" applyNumberFormat="1" applyFont="1" applyFill="1" applyAlignment="1">
      <alignment horizontal="center"/>
    </xf>
    <xf numFmtId="172" fontId="0" fillId="0" borderId="0" xfId="0" applyNumberFormat="1" applyAlignment="1">
      <alignment horizontal="right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75" fontId="4" fillId="0" borderId="0" xfId="0" applyNumberFormat="1" applyFont="1" applyAlignment="1">
      <alignment horizontal="center"/>
    </xf>
    <xf numFmtId="175" fontId="4" fillId="2" borderId="0" xfId="0" applyNumberFormat="1" applyFont="1" applyFill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right"/>
    </xf>
    <xf numFmtId="175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172" fontId="10" fillId="4" borderId="0" xfId="0" applyNumberFormat="1" applyFont="1" applyFill="1" applyAlignment="1">
      <alignment horizontal="right"/>
    </xf>
    <xf numFmtId="172" fontId="10" fillId="0" borderId="0" xfId="0" applyNumberFormat="1" applyFont="1" applyAlignment="1">
      <alignment horizontal="right"/>
    </xf>
    <xf numFmtId="172" fontId="10" fillId="6" borderId="0" xfId="0" applyNumberFormat="1" applyFont="1" applyFill="1" applyAlignment="1">
      <alignment horizontal="right"/>
    </xf>
    <xf numFmtId="172" fontId="11" fillId="6" borderId="0" xfId="0" applyNumberFormat="1" applyFont="1" applyFill="1" applyAlignment="1">
      <alignment horizontal="right"/>
    </xf>
    <xf numFmtId="172" fontId="11" fillId="4" borderId="0" xfId="0" applyNumberFormat="1" applyFont="1" applyFill="1" applyAlignment="1">
      <alignment horizontal="right"/>
    </xf>
    <xf numFmtId="172" fontId="11" fillId="5" borderId="0" xfId="0" applyNumberFormat="1" applyFont="1" applyFill="1" applyAlignment="1">
      <alignment horizontal="right"/>
    </xf>
    <xf numFmtId="172" fontId="11" fillId="3" borderId="0" xfId="0" applyNumberFormat="1" applyFont="1" applyFill="1" applyAlignment="1">
      <alignment horizontal="right"/>
    </xf>
    <xf numFmtId="172" fontId="10" fillId="2" borderId="0" xfId="0" applyNumberFormat="1" applyFont="1" applyFill="1" applyAlignment="1">
      <alignment horizontal="right"/>
    </xf>
    <xf numFmtId="172" fontId="11" fillId="2" borderId="0" xfId="0" applyNumberFormat="1" applyFont="1" applyFill="1" applyAlignment="1">
      <alignment horizontal="right"/>
    </xf>
    <xf numFmtId="172" fontId="10" fillId="0" borderId="0" xfId="0" applyNumberFormat="1" applyFont="1" applyFill="1" applyAlignment="1">
      <alignment horizontal="right"/>
    </xf>
    <xf numFmtId="172" fontId="10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72" fontId="4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Alignment="1">
      <alignment horizontal="right"/>
    </xf>
    <xf numFmtId="172" fontId="11" fillId="0" borderId="0" xfId="0" applyNumberFormat="1" applyFont="1" applyAlignment="1">
      <alignment horizontal="right"/>
    </xf>
    <xf numFmtId="172" fontId="10" fillId="3" borderId="0" xfId="0" applyNumberFormat="1" applyFont="1" applyFill="1" applyAlignment="1">
      <alignment horizontal="right"/>
    </xf>
    <xf numFmtId="0" fontId="0" fillId="0" borderId="0" xfId="0" applyFill="1"/>
    <xf numFmtId="172" fontId="12" fillId="4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72" fontId="10" fillId="0" borderId="0" xfId="0" applyNumberFormat="1" applyFont="1"/>
    <xf numFmtId="172" fontId="10" fillId="4" borderId="0" xfId="0" applyNumberFormat="1" applyFont="1" applyFill="1"/>
    <xf numFmtId="172" fontId="10" fillId="0" borderId="0" xfId="0" applyNumberFormat="1" applyFont="1" applyFill="1"/>
    <xf numFmtId="172" fontId="10" fillId="6" borderId="0" xfId="0" applyNumberFormat="1" applyFont="1" applyFill="1"/>
    <xf numFmtId="172" fontId="10" fillId="5" borderId="0" xfId="0" applyNumberFormat="1" applyFont="1" applyFill="1"/>
    <xf numFmtId="172" fontId="10" fillId="3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72" fontId="10" fillId="9" borderId="0" xfId="0" applyNumberFormat="1" applyFont="1" applyFill="1" applyAlignment="1">
      <alignment horizontal="right"/>
    </xf>
    <xf numFmtId="1" fontId="4" fillId="9" borderId="0" xfId="0" applyNumberFormat="1" applyFont="1" applyFill="1" applyAlignment="1">
      <alignment horizontal="center"/>
    </xf>
    <xf numFmtId="175" fontId="3" fillId="5" borderId="0" xfId="0" applyNumberFormat="1" applyFont="1" applyFill="1" applyAlignment="1">
      <alignment horizontal="center"/>
    </xf>
    <xf numFmtId="172" fontId="10" fillId="2" borderId="0" xfId="0" applyNumberFormat="1" applyFont="1" applyFill="1"/>
    <xf numFmtId="0" fontId="1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5"/>
  <sheetViews>
    <sheetView topLeftCell="J1" workbookViewId="0">
      <pane ySplit="4" topLeftCell="A5" activePane="bottomLeft" state="frozen"/>
      <selection pane="bottomLeft" activeCell="Q5" sqref="Q5"/>
    </sheetView>
  </sheetViews>
  <sheetFormatPr defaultRowHeight="12.75"/>
  <cols>
    <col min="2" max="2" width="6.7109375" customWidth="1"/>
    <col min="3" max="3" width="5.7109375" customWidth="1"/>
    <col min="5" max="5" width="6.7109375" customWidth="1"/>
    <col min="6" max="6" width="5.7109375" customWidth="1"/>
    <col min="7" max="7" width="9" customWidth="1"/>
    <col min="8" max="8" width="6.7109375" customWidth="1"/>
    <col min="9" max="9" width="5.7109375" customWidth="1"/>
    <col min="10" max="11" width="7.7109375" customWidth="1"/>
    <col min="12" max="12" width="6.42578125" customWidth="1"/>
    <col min="13" max="13" width="7.7109375" customWidth="1"/>
    <col min="14" max="14" width="8.28515625" customWidth="1"/>
    <col min="15" max="15" width="6.42578125" customWidth="1"/>
    <col min="16" max="16" width="7.7109375" customWidth="1"/>
    <col min="17" max="17" width="9.28515625" customWidth="1"/>
    <col min="18" max="19" width="8.85546875" customWidth="1"/>
    <col min="20" max="21" width="6.7109375" customWidth="1"/>
    <col min="22" max="23" width="3.5703125" customWidth="1"/>
    <col min="24" max="24" width="4.28515625" customWidth="1"/>
  </cols>
  <sheetData>
    <row r="1" spans="1:25">
      <c r="A1" s="29" t="s">
        <v>2085</v>
      </c>
      <c r="D1" s="30" t="s">
        <v>2086</v>
      </c>
      <c r="G1" s="29" t="s">
        <v>2093</v>
      </c>
      <c r="H1" s="2"/>
      <c r="I1" s="2"/>
      <c r="J1" s="28" t="s">
        <v>2084</v>
      </c>
      <c r="L1" s="2"/>
      <c r="M1" s="28" t="s">
        <v>2096</v>
      </c>
      <c r="N1" s="2"/>
      <c r="O1" s="2"/>
      <c r="P1" s="1"/>
      <c r="Q1" s="2"/>
      <c r="R1" s="3"/>
      <c r="S1" s="3"/>
    </row>
    <row r="2" spans="1:25">
      <c r="A2" s="121" t="s">
        <v>2088</v>
      </c>
      <c r="B2" s="138">
        <v>13</v>
      </c>
      <c r="D2" s="121" t="s">
        <v>2087</v>
      </c>
      <c r="E2" s="138" t="s">
        <v>2079</v>
      </c>
      <c r="G2" s="121" t="s">
        <v>2094</v>
      </c>
      <c r="H2" s="138" t="s">
        <v>2095</v>
      </c>
      <c r="I2" s="2"/>
      <c r="J2" s="121" t="s">
        <v>2087</v>
      </c>
      <c r="K2" s="138" t="s">
        <v>2079</v>
      </c>
      <c r="M2" s="2">
        <v>233</v>
      </c>
      <c r="N2" s="2" t="s">
        <v>0</v>
      </c>
      <c r="O2" s="2"/>
      <c r="P2" s="1"/>
      <c r="Q2" s="27">
        <f>LN(3^7/2^11)/LN(2)*1200</f>
        <v>113.68500605771193</v>
      </c>
      <c r="R2" s="3" t="s">
        <v>2069</v>
      </c>
      <c r="S2" s="3"/>
    </row>
    <row r="3" spans="1:25">
      <c r="I3" s="2"/>
      <c r="L3" s="2"/>
      <c r="M3" s="27">
        <f>$Q$2/M$2</f>
        <v>0.48791848093438595</v>
      </c>
      <c r="N3" s="5" t="s">
        <v>1</v>
      </c>
      <c r="O3" s="2"/>
      <c r="P3" s="1" t="s">
        <v>2</v>
      </c>
      <c r="Q3" s="1" t="s">
        <v>2</v>
      </c>
      <c r="R3" s="3"/>
      <c r="S3" s="3"/>
      <c r="V3" s="58" t="s">
        <v>2058</v>
      </c>
      <c r="X3" s="58" t="s">
        <v>2062</v>
      </c>
    </row>
    <row r="4" spans="1:25">
      <c r="A4" s="6" t="s">
        <v>4</v>
      </c>
      <c r="B4" s="1" t="s">
        <v>254</v>
      </c>
      <c r="C4" s="1" t="s">
        <v>3</v>
      </c>
      <c r="D4" s="6" t="s">
        <v>4</v>
      </c>
      <c r="E4" s="1" t="s">
        <v>254</v>
      </c>
      <c r="F4" s="1" t="s">
        <v>3</v>
      </c>
      <c r="G4" s="6" t="s">
        <v>4</v>
      </c>
      <c r="H4" s="1" t="s">
        <v>254</v>
      </c>
      <c r="I4" s="1" t="s">
        <v>3</v>
      </c>
      <c r="J4" s="6" t="s">
        <v>4</v>
      </c>
      <c r="K4" s="1" t="s">
        <v>254</v>
      </c>
      <c r="L4" s="1" t="s">
        <v>3</v>
      </c>
      <c r="M4" s="1" t="s">
        <v>4</v>
      </c>
      <c r="N4" s="1" t="s">
        <v>254</v>
      </c>
      <c r="O4" s="1" t="s">
        <v>3</v>
      </c>
      <c r="P4" s="6" t="s">
        <v>4</v>
      </c>
      <c r="Q4" s="6" t="s">
        <v>5</v>
      </c>
      <c r="R4" s="7" t="s">
        <v>2</v>
      </c>
      <c r="S4" s="8" t="s">
        <v>6</v>
      </c>
      <c r="T4" s="1" t="s">
        <v>1932</v>
      </c>
      <c r="U4" s="18" t="s">
        <v>1933</v>
      </c>
      <c r="V4" s="122" t="s">
        <v>2059</v>
      </c>
      <c r="W4" s="6"/>
      <c r="X4" s="18" t="s">
        <v>2063</v>
      </c>
      <c r="Y4" s="8" t="s">
        <v>1965</v>
      </c>
    </row>
    <row r="5" spans="1:25" ht="13.5">
      <c r="A5" s="31">
        <v>0</v>
      </c>
      <c r="B5" s="10" t="str">
        <f>""</f>
        <v/>
      </c>
      <c r="C5" s="31">
        <v>0</v>
      </c>
      <c r="D5" s="31">
        <v>0</v>
      </c>
      <c r="E5" s="10" t="str">
        <f>""</f>
        <v/>
      </c>
      <c r="F5" s="1">
        <v>0</v>
      </c>
      <c r="G5" s="31">
        <v>0</v>
      </c>
      <c r="H5" s="10" t="str">
        <f>""</f>
        <v/>
      </c>
      <c r="I5" s="1">
        <v>0</v>
      </c>
      <c r="J5" s="9">
        <v>0</v>
      </c>
      <c r="K5" s="10" t="str">
        <f>""</f>
        <v/>
      </c>
      <c r="L5" s="1">
        <v>0</v>
      </c>
      <c r="M5" s="9">
        <v>0</v>
      </c>
      <c r="N5" s="10" t="str">
        <f>""</f>
        <v/>
      </c>
      <c r="O5" s="1">
        <v>0</v>
      </c>
      <c r="P5" s="11">
        <f t="shared" ref="P5:P19" si="0">1200*LN($S5/$R5)/LN(2)</f>
        <v>0</v>
      </c>
      <c r="Q5" s="12" t="s">
        <v>7</v>
      </c>
      <c r="R5" s="12">
        <v>1</v>
      </c>
      <c r="S5" s="12">
        <v>1</v>
      </c>
      <c r="T5" s="57">
        <f>P5</f>
        <v>0</v>
      </c>
      <c r="V5" s="18" t="str">
        <f>IF(T5&lt;$M5,"low",IF(T5&gt;$M6,"high",""))</f>
        <v/>
      </c>
      <c r="W5" s="18" t="str">
        <f>IF(U5=0,"",IF(U5&lt;$M5,"low",IF(U5&gt;$M6,"high","")))</f>
        <v/>
      </c>
      <c r="X5" s="58"/>
    </row>
    <row r="6" spans="1:25" ht="13.5">
      <c r="A6" s="6"/>
      <c r="B6" s="6"/>
      <c r="C6" s="14"/>
      <c r="D6" s="6"/>
      <c r="E6" s="6"/>
      <c r="F6" s="6"/>
      <c r="G6" s="1"/>
      <c r="H6" s="1"/>
      <c r="I6" s="1"/>
      <c r="J6" s="72">
        <f>M6</f>
        <v>0.24395924046719297</v>
      </c>
      <c r="K6" s="4" t="s">
        <v>8</v>
      </c>
      <c r="L6" s="1">
        <f>O6</f>
        <v>1</v>
      </c>
      <c r="M6" s="9">
        <f>(O6+O5)/2*M$3</f>
        <v>0.24395924046719297</v>
      </c>
      <c r="N6" s="4" t="s">
        <v>8</v>
      </c>
      <c r="O6" s="1">
        <f>O5+1</f>
        <v>1</v>
      </c>
      <c r="P6" s="11">
        <f t="shared" si="0"/>
        <v>0.42271616595482425</v>
      </c>
      <c r="Q6" s="12" t="s">
        <v>9</v>
      </c>
      <c r="R6" s="12">
        <f>5*7*13*3^2</f>
        <v>4095</v>
      </c>
      <c r="S6" s="12">
        <f>2^12</f>
        <v>4096</v>
      </c>
      <c r="T6" s="57">
        <f>P6</f>
        <v>0.42271616595482425</v>
      </c>
      <c r="U6" s="13">
        <f>1200*LN(4375/4374)/LN(2)</f>
        <v>0.39575587075239016</v>
      </c>
      <c r="V6" s="18" t="str">
        <f>IF(T6&lt;$M6,"low",IF(T6&gt;$M7,"high",""))</f>
        <v/>
      </c>
      <c r="W6" s="18" t="str">
        <f>IF(U6=0,"",IF(U6&lt;$M6,"low",IF(U6&gt;$M7,"high","")))</f>
        <v/>
      </c>
      <c r="X6" s="58" t="str">
        <f>IF(ABS(T6-T5)&lt;10^-10,"same","")</f>
        <v/>
      </c>
      <c r="Y6" t="s">
        <v>2061</v>
      </c>
    </row>
    <row r="7" spans="1:25" ht="13.5">
      <c r="A7" s="6"/>
      <c r="B7" s="6"/>
      <c r="C7" s="14"/>
      <c r="D7" s="6"/>
      <c r="E7" s="6"/>
      <c r="F7" s="6"/>
      <c r="G7" s="1"/>
      <c r="H7" s="1"/>
      <c r="I7" s="1"/>
      <c r="J7" s="72"/>
      <c r="K7" s="4"/>
      <c r="L7" s="1"/>
      <c r="M7" s="9">
        <f>(P6+P7)/2</f>
        <v>0.57195672369880002</v>
      </c>
      <c r="N7" s="4" t="s">
        <v>1934</v>
      </c>
      <c r="O7" s="68">
        <f>O6+(M7-M6)/$M$3</f>
        <v>1.6722382857961786</v>
      </c>
      <c r="P7" s="13">
        <f t="shared" si="0"/>
        <v>0.72119728144277584</v>
      </c>
      <c r="Q7" s="6" t="s">
        <v>579</v>
      </c>
      <c r="R7" s="6">
        <f>2^5*3*5^2</f>
        <v>2400</v>
      </c>
      <c r="S7" s="6">
        <f>7^4</f>
        <v>2401</v>
      </c>
      <c r="T7" s="57">
        <f>$T14-$T10-T8</f>
        <v>0.59177373642908726</v>
      </c>
      <c r="U7" s="57">
        <f>$T14-$T10-U8</f>
        <v>0.60582590382354395</v>
      </c>
      <c r="V7" s="18" t="str">
        <f>IF(T7&lt;$M7,"low",IF(T7&gt;$M8,"high",""))</f>
        <v/>
      </c>
      <c r="W7" s="18" t="str">
        <f>IF(U7=0,"",IF(U7&lt;$M7,"low",IF(U7&gt;$M8,"high","")))</f>
        <v/>
      </c>
      <c r="X7" s="58" t="str">
        <f>IF(ABS(T7-T6)&lt;10^-10,"same","")</f>
        <v/>
      </c>
    </row>
    <row r="8" spans="1:25" ht="13.5">
      <c r="A8" s="6"/>
      <c r="B8" s="6"/>
      <c r="C8" s="14"/>
      <c r="D8" s="6"/>
      <c r="E8" s="6"/>
      <c r="F8" s="6"/>
      <c r="G8" s="1"/>
      <c r="H8" s="1"/>
      <c r="I8" s="1"/>
      <c r="J8" s="72">
        <f>M8</f>
        <v>0.73187772140157892</v>
      </c>
      <c r="K8" s="4" t="s">
        <v>10</v>
      </c>
      <c r="L8" s="1">
        <f>O8</f>
        <v>2</v>
      </c>
      <c r="M8" s="9">
        <f>(O8+O6)/2*M$3</f>
        <v>0.73187772140157892</v>
      </c>
      <c r="N8" s="4" t="s">
        <v>10</v>
      </c>
      <c r="O8" s="1">
        <f>O6+1</f>
        <v>2</v>
      </c>
      <c r="P8" s="11">
        <f t="shared" si="0"/>
        <v>0.83252420410159889</v>
      </c>
      <c r="Q8" s="12" t="s">
        <v>11</v>
      </c>
      <c r="R8" s="12">
        <f>3^3*7*11</f>
        <v>2079</v>
      </c>
      <c r="S8" s="12">
        <f>2^5*5*13</f>
        <v>2080</v>
      </c>
      <c r="T8" s="57">
        <f>P8</f>
        <v>0.83252420410159889</v>
      </c>
      <c r="U8" s="13">
        <f>1200*LN(256000/255879)/LN(2)</f>
        <v>0.81847203670714219</v>
      </c>
      <c r="V8" s="18" t="str">
        <f t="shared" ref="V8:V17" si="1">IF(T8&lt;$M8,"low",IF(T8&gt;$M9,"high",""))</f>
        <v/>
      </c>
      <c r="W8" s="18" t="str">
        <f t="shared" ref="W8:W17" si="2">IF(U8=0,"",IF(U8&lt;$M8,"low",IF(U8&gt;$M9,"high","")))</f>
        <v/>
      </c>
      <c r="X8" s="58" t="str">
        <f t="shared" ref="X8:X17" si="3">IF(ABS(T8-T7)&lt;10^-10,"same","")</f>
        <v/>
      </c>
      <c r="Y8" t="s">
        <v>2060</v>
      </c>
    </row>
    <row r="9" spans="1:25" ht="13.5">
      <c r="A9" s="6"/>
      <c r="B9" s="6"/>
      <c r="C9" s="14"/>
      <c r="D9" s="6">
        <f>$M9</f>
        <v>1.219796202335965</v>
      </c>
      <c r="E9" s="4" t="s">
        <v>19</v>
      </c>
      <c r="F9" s="31">
        <v>1</v>
      </c>
      <c r="G9" s="6">
        <f>$M9</f>
        <v>1.219796202335965</v>
      </c>
      <c r="H9" s="10" t="str">
        <f>IF($H$2="N","'|",IF($H$2="Y",".)|",".)|"))</f>
        <v>.)|</v>
      </c>
      <c r="I9" s="31">
        <v>1</v>
      </c>
      <c r="J9" s="72">
        <f>M9</f>
        <v>1.219796202335965</v>
      </c>
      <c r="K9" s="4" t="s">
        <v>1935</v>
      </c>
      <c r="L9" s="1">
        <f>O9</f>
        <v>3</v>
      </c>
      <c r="M9" s="9">
        <f>(O9+O8)/2*M$3</f>
        <v>1.219796202335965</v>
      </c>
      <c r="N9" s="4" t="s">
        <v>1935</v>
      </c>
      <c r="O9" s="1">
        <f>O8+1</f>
        <v>3</v>
      </c>
      <c r="P9" s="11">
        <f t="shared" si="0"/>
        <v>1.4242979405307952</v>
      </c>
      <c r="Q9" s="12" t="s">
        <v>12</v>
      </c>
      <c r="R9" s="12">
        <f>3^5*5</f>
        <v>1215</v>
      </c>
      <c r="S9" s="12">
        <f>2^6*19</f>
        <v>1216</v>
      </c>
      <c r="T9" s="57">
        <f>$T14-$T10</f>
        <v>1.4242979405306861</v>
      </c>
      <c r="V9" s="18" t="str">
        <f t="shared" si="1"/>
        <v/>
      </c>
      <c r="W9" s="18" t="str">
        <f t="shared" si="2"/>
        <v/>
      </c>
      <c r="X9" s="58" t="str">
        <f t="shared" si="3"/>
        <v/>
      </c>
    </row>
    <row r="10" spans="1:25" ht="13.5">
      <c r="A10" s="6"/>
      <c r="B10" s="6"/>
      <c r="C10" s="14"/>
      <c r="D10" s="6"/>
      <c r="E10" s="6"/>
      <c r="F10" s="6"/>
      <c r="G10" s="6">
        <f>$M10</f>
        <v>1.7077146832703507</v>
      </c>
      <c r="H10" s="10" t="s">
        <v>13</v>
      </c>
      <c r="I10" s="31">
        <f>IF($H$2="N",1,IF($H$2="Y",1.3,1.3))</f>
        <v>1.3</v>
      </c>
      <c r="J10" s="72">
        <f>M10</f>
        <v>1.7077146832703507</v>
      </c>
      <c r="K10" s="10" t="s">
        <v>13</v>
      </c>
      <c r="L10" s="1">
        <f>O10</f>
        <v>4</v>
      </c>
      <c r="M10" s="9">
        <f>(O10+O9)/2*M$3</f>
        <v>1.7077146832703507</v>
      </c>
      <c r="N10" s="10" t="s">
        <v>13</v>
      </c>
      <c r="O10" s="1">
        <f>O9+1</f>
        <v>4</v>
      </c>
      <c r="P10" s="11">
        <f>1200*LN($S10/$R10)/LN(2)</f>
        <v>1.9537207879341596</v>
      </c>
      <c r="Q10" s="12" t="s">
        <v>14</v>
      </c>
      <c r="R10" s="12">
        <f>2^15</f>
        <v>32768</v>
      </c>
      <c r="S10" s="15">
        <f>3^8*5</f>
        <v>32805</v>
      </c>
      <c r="T10" s="57">
        <f>P10</f>
        <v>1.9537207879341596</v>
      </c>
      <c r="V10" s="18" t="str">
        <f t="shared" si="1"/>
        <v/>
      </c>
      <c r="W10" s="18" t="str">
        <f t="shared" si="2"/>
        <v/>
      </c>
      <c r="X10" s="58" t="str">
        <f t="shared" si="3"/>
        <v/>
      </c>
    </row>
    <row r="11" spans="1:25" ht="13.5">
      <c r="A11" s="6"/>
      <c r="B11" s="6"/>
      <c r="C11" s="14"/>
      <c r="D11" s="6"/>
      <c r="E11" s="6"/>
      <c r="F11" s="6"/>
      <c r="G11" s="1"/>
      <c r="H11" s="1"/>
      <c r="I11" s="1"/>
      <c r="J11" s="72">
        <f>M11</f>
        <v>2.1956331642047369</v>
      </c>
      <c r="K11" s="10" t="s">
        <v>15</v>
      </c>
      <c r="L11" s="1">
        <f>O11</f>
        <v>5</v>
      </c>
      <c r="M11" s="9">
        <f>(O11+O10)/2*M$3</f>
        <v>2.1956331642047369</v>
      </c>
      <c r="N11" s="10" t="s">
        <v>15</v>
      </c>
      <c r="O11" s="1">
        <f>O10+1</f>
        <v>5</v>
      </c>
      <c r="P11" s="11">
        <f t="shared" si="0"/>
        <v>2.3764369538889771</v>
      </c>
      <c r="Q11" s="12" t="s">
        <v>290</v>
      </c>
      <c r="R11" s="12">
        <f>2^3*7*13</f>
        <v>728</v>
      </c>
      <c r="S11" s="12">
        <f>3^6</f>
        <v>729</v>
      </c>
      <c r="T11" s="57">
        <f>$T10+T6</f>
        <v>2.3764369538889838</v>
      </c>
      <c r="U11" s="57">
        <f>$T10+U6</f>
        <v>2.3494766586865499</v>
      </c>
      <c r="V11" s="18" t="str">
        <f t="shared" si="1"/>
        <v/>
      </c>
      <c r="W11" s="18" t="str">
        <f t="shared" si="2"/>
        <v/>
      </c>
      <c r="X11" s="58" t="str">
        <f t="shared" si="3"/>
        <v/>
      </c>
    </row>
    <row r="12" spans="1:25" ht="13.5">
      <c r="A12" s="6"/>
      <c r="B12" s="6"/>
      <c r="C12" s="14"/>
      <c r="D12" s="6"/>
      <c r="E12" s="6"/>
      <c r="F12" s="6"/>
      <c r="G12" s="1"/>
      <c r="H12" s="1"/>
      <c r="I12" s="1"/>
      <c r="J12" s="73"/>
      <c r="K12" s="1"/>
      <c r="L12" s="1"/>
      <c r="M12" s="9">
        <f>(P11+P12)/2</f>
        <v>2.4626389996418512</v>
      </c>
      <c r="N12" s="10" t="s">
        <v>1936</v>
      </c>
      <c r="O12" s="68">
        <f>O11+(M12-M11)/$M$3</f>
        <v>5.5472345194340376</v>
      </c>
      <c r="P12" s="13">
        <f>1200*LN($S12/$R12)/LN(2)</f>
        <v>2.5488410453947257</v>
      </c>
      <c r="Q12" s="6" t="s">
        <v>16</v>
      </c>
      <c r="R12" s="6">
        <f>3^9</f>
        <v>19683</v>
      </c>
      <c r="S12" s="6">
        <f>2^8*7*11</f>
        <v>19712</v>
      </c>
      <c r="T12" s="57">
        <f>$T14-T8</f>
        <v>2.5454945243632467</v>
      </c>
      <c r="U12" s="57">
        <f>$T14-U8</f>
        <v>2.5595466917577037</v>
      </c>
      <c r="V12" s="18" t="str">
        <f t="shared" si="1"/>
        <v/>
      </c>
      <c r="W12" s="18" t="str">
        <f t="shared" si="2"/>
        <v/>
      </c>
      <c r="X12" s="58" t="str">
        <f t="shared" si="3"/>
        <v/>
      </c>
    </row>
    <row r="13" spans="1:25" ht="13.5">
      <c r="A13" s="6">
        <f>$M13</f>
        <v>2.6835516451391226</v>
      </c>
      <c r="B13" s="4" t="s">
        <v>28</v>
      </c>
      <c r="C13" s="31">
        <v>1</v>
      </c>
      <c r="D13" s="6"/>
      <c r="E13" s="6"/>
      <c r="F13" s="6"/>
      <c r="G13" s="6">
        <f>$M13</f>
        <v>2.6835516451391226</v>
      </c>
      <c r="H13" s="4" t="s">
        <v>19</v>
      </c>
      <c r="I13" s="31">
        <v>2</v>
      </c>
      <c r="J13" s="72">
        <f t="shared" ref="J13:J19" si="4">M13</f>
        <v>2.6835516451391226</v>
      </c>
      <c r="K13" s="4" t="s">
        <v>17</v>
      </c>
      <c r="L13" s="1">
        <f t="shared" ref="L13:L19" si="5">O13</f>
        <v>6</v>
      </c>
      <c r="M13" s="9">
        <f>(O13+O11)/2*M$3</f>
        <v>2.6835516451391226</v>
      </c>
      <c r="N13" s="4" t="s">
        <v>17</v>
      </c>
      <c r="O13" s="1">
        <f>O11+1</f>
        <v>6</v>
      </c>
      <c r="P13" s="13">
        <f>1200*LN($S13/$R13)/LN(2)</f>
        <v>2.9822628577124797</v>
      </c>
      <c r="Q13" s="6" t="s">
        <v>1717</v>
      </c>
      <c r="R13" s="6">
        <f>2^8*5^4*7</f>
        <v>1120000</v>
      </c>
      <c r="S13" s="6">
        <f>3^10*19</f>
        <v>1121931</v>
      </c>
      <c r="T13" s="57">
        <f>$T14-T6</f>
        <v>2.9553025625100213</v>
      </c>
      <c r="U13" s="57">
        <f>$T14-U6</f>
        <v>2.9822628577124557</v>
      </c>
      <c r="V13" s="18" t="str">
        <f t="shared" si="1"/>
        <v/>
      </c>
      <c r="W13" s="18" t="str">
        <f t="shared" si="2"/>
        <v/>
      </c>
      <c r="X13" s="58" t="str">
        <f t="shared" si="3"/>
        <v/>
      </c>
    </row>
    <row r="14" spans="1:25" ht="13.5">
      <c r="A14" s="6"/>
      <c r="B14" s="6"/>
      <c r="C14" s="14"/>
      <c r="D14" s="6"/>
      <c r="E14" s="6"/>
      <c r="F14" s="6"/>
      <c r="G14" s="1"/>
      <c r="H14" s="1"/>
      <c r="I14" s="1"/>
      <c r="J14" s="72">
        <f t="shared" si="4"/>
        <v>3.1714701260735088</v>
      </c>
      <c r="K14" s="4" t="s">
        <v>19</v>
      </c>
      <c r="L14" s="1">
        <f t="shared" si="5"/>
        <v>7</v>
      </c>
      <c r="M14" s="9">
        <f t="shared" ref="M14:M19" si="6">(O14+O13)/2*M$3</f>
        <v>3.1714701260735088</v>
      </c>
      <c r="N14" s="4" t="s">
        <v>19</v>
      </c>
      <c r="O14" s="1">
        <f t="shared" ref="O14:O19" si="7">O13+1</f>
        <v>7</v>
      </c>
      <c r="P14" s="11">
        <f t="shared" si="0"/>
        <v>3.3780187284648457</v>
      </c>
      <c r="Q14" s="12" t="s">
        <v>20</v>
      </c>
      <c r="R14" s="12">
        <f>2^9</f>
        <v>512</v>
      </c>
      <c r="S14" s="15">
        <f>3^3*19</f>
        <v>513</v>
      </c>
      <c r="T14" s="57">
        <f>P14</f>
        <v>3.3780187284648457</v>
      </c>
      <c r="U14" s="19"/>
      <c r="V14" s="18" t="str">
        <f t="shared" si="1"/>
        <v/>
      </c>
      <c r="W14" s="18" t="str">
        <f t="shared" si="2"/>
        <v/>
      </c>
      <c r="X14" s="58" t="str">
        <f t="shared" si="3"/>
        <v/>
      </c>
    </row>
    <row r="15" spans="1:25" ht="13.5">
      <c r="A15" s="6"/>
      <c r="B15" s="6"/>
      <c r="C15" s="14"/>
      <c r="D15" s="6"/>
      <c r="E15" s="6"/>
      <c r="F15" s="6"/>
      <c r="G15" s="1"/>
      <c r="H15" s="1"/>
      <c r="I15" s="1"/>
      <c r="J15" s="72">
        <f t="shared" si="4"/>
        <v>3.6593886070078945</v>
      </c>
      <c r="K15" s="4" t="s">
        <v>1940</v>
      </c>
      <c r="L15" s="1">
        <f t="shared" si="5"/>
        <v>8</v>
      </c>
      <c r="M15" s="9">
        <f t="shared" si="6"/>
        <v>3.6593886070078945</v>
      </c>
      <c r="N15" s="4" t="s">
        <v>1940</v>
      </c>
      <c r="O15" s="1">
        <f t="shared" si="7"/>
        <v>8</v>
      </c>
      <c r="P15" s="13">
        <f>1200*LN($S15/$R15)/LN(2)</f>
        <v>3.9301584394330495</v>
      </c>
      <c r="Q15" s="23" t="s">
        <v>21</v>
      </c>
      <c r="R15" s="23">
        <f>2^3*5*11</f>
        <v>440</v>
      </c>
      <c r="S15" s="23">
        <f>3^2*7^2</f>
        <v>441</v>
      </c>
      <c r="T15" s="13">
        <f>$T14+T6</f>
        <v>3.8007348944196702</v>
      </c>
      <c r="U15" s="69">
        <f>$T14+U6</f>
        <v>3.7737745992172358</v>
      </c>
      <c r="V15" s="18" t="str">
        <f t="shared" si="1"/>
        <v/>
      </c>
      <c r="W15" s="18" t="str">
        <f t="shared" si="2"/>
        <v/>
      </c>
      <c r="X15" s="58" t="str">
        <f t="shared" si="3"/>
        <v/>
      </c>
    </row>
    <row r="16" spans="1:25" ht="13.5">
      <c r="A16" s="6"/>
      <c r="B16" s="6"/>
      <c r="C16" s="14"/>
      <c r="D16" s="6"/>
      <c r="E16" s="6"/>
      <c r="F16" s="6"/>
      <c r="G16" s="1"/>
      <c r="H16" s="1"/>
      <c r="I16" s="1"/>
      <c r="J16" s="72">
        <f t="shared" si="4"/>
        <v>4.1473070879422806</v>
      </c>
      <c r="K16" s="4" t="s">
        <v>22</v>
      </c>
      <c r="L16" s="1">
        <f t="shared" si="5"/>
        <v>9</v>
      </c>
      <c r="M16" s="9">
        <f t="shared" si="6"/>
        <v>4.1473070879422806</v>
      </c>
      <c r="N16" s="4" t="s">
        <v>22</v>
      </c>
      <c r="O16" s="1">
        <f t="shared" si="7"/>
        <v>9</v>
      </c>
      <c r="P16" s="13">
        <f>1200*LN($S16/$R16)/LN(2)</f>
        <v>4.5025618333291639</v>
      </c>
      <c r="Q16" s="6" t="s">
        <v>23</v>
      </c>
      <c r="R16" s="6">
        <f>2^7*3</f>
        <v>384</v>
      </c>
      <c r="S16" s="6">
        <f>5*7*11</f>
        <v>385</v>
      </c>
      <c r="T16" s="57">
        <f>$T14+T8</f>
        <v>4.2105429325664447</v>
      </c>
      <c r="U16" s="57">
        <f>$T14+U8</f>
        <v>4.1964907651719878</v>
      </c>
      <c r="V16" s="18" t="str">
        <f t="shared" si="1"/>
        <v/>
      </c>
      <c r="W16" s="18" t="str">
        <f t="shared" si="2"/>
        <v/>
      </c>
      <c r="X16" s="58" t="str">
        <f t="shared" si="3"/>
        <v/>
      </c>
    </row>
    <row r="17" spans="1:24" ht="13.5">
      <c r="A17" s="6"/>
      <c r="B17" s="6"/>
      <c r="C17" s="14"/>
      <c r="D17" s="6">
        <f>$M17</f>
        <v>4.6352255688766668</v>
      </c>
      <c r="E17" s="4" t="s">
        <v>28</v>
      </c>
      <c r="F17" s="31">
        <v>2</v>
      </c>
      <c r="G17" s="6">
        <f>$M17</f>
        <v>4.6352255688766668</v>
      </c>
      <c r="H17" s="4" t="s">
        <v>28</v>
      </c>
      <c r="I17" s="31">
        <v>3</v>
      </c>
      <c r="J17" s="72">
        <f t="shared" si="4"/>
        <v>4.6352255688766668</v>
      </c>
      <c r="K17" s="4" t="s">
        <v>24</v>
      </c>
      <c r="L17" s="1">
        <f t="shared" si="5"/>
        <v>10</v>
      </c>
      <c r="M17" s="9">
        <f t="shared" si="6"/>
        <v>4.6352255688766668</v>
      </c>
      <c r="N17" s="4" t="s">
        <v>24</v>
      </c>
      <c r="O17" s="1">
        <f t="shared" si="7"/>
        <v>10</v>
      </c>
      <c r="P17" s="11">
        <f>1200*LN($S17/$R17)/LN(2)</f>
        <v>4.9252779992839724</v>
      </c>
      <c r="Q17" s="20" t="s">
        <v>25</v>
      </c>
      <c r="R17" s="12">
        <f>3^3*13</f>
        <v>351</v>
      </c>
      <c r="S17" s="15">
        <f>2^5*11</f>
        <v>352</v>
      </c>
      <c r="T17" s="57">
        <f>$T19-T8</f>
        <v>4.925277999283602</v>
      </c>
      <c r="U17" s="57">
        <f>$T19-U8</f>
        <v>4.9393301666780589</v>
      </c>
      <c r="V17" s="18" t="str">
        <f t="shared" si="1"/>
        <v/>
      </c>
      <c r="W17" s="18" t="str">
        <f t="shared" si="2"/>
        <v/>
      </c>
      <c r="X17" s="58" t="str">
        <f t="shared" si="3"/>
        <v/>
      </c>
    </row>
    <row r="18" spans="1:24" ht="13.5">
      <c r="A18" s="6"/>
      <c r="B18" s="6"/>
      <c r="C18" s="14"/>
      <c r="D18" s="6"/>
      <c r="E18" s="6"/>
      <c r="F18" s="6"/>
      <c r="G18" s="1"/>
      <c r="H18" s="1"/>
      <c r="I18" s="1"/>
      <c r="J18" s="72">
        <f t="shared" si="4"/>
        <v>5.1231440498110521</v>
      </c>
      <c r="K18" s="4" t="s">
        <v>26</v>
      </c>
      <c r="L18" s="1">
        <f t="shared" si="5"/>
        <v>11</v>
      </c>
      <c r="M18" s="9">
        <f t="shared" si="6"/>
        <v>5.1231440498110521</v>
      </c>
      <c r="N18" s="4" t="s">
        <v>26</v>
      </c>
      <c r="O18" s="1">
        <f t="shared" si="7"/>
        <v>11</v>
      </c>
      <c r="P18" s="13">
        <f>1200*LN($S18/$R18)/LN(2)</f>
        <v>5.4476352918180853</v>
      </c>
      <c r="Q18" s="21" t="s">
        <v>281</v>
      </c>
      <c r="R18" s="21">
        <f>2^11*11</f>
        <v>22528</v>
      </c>
      <c r="S18" s="21">
        <f>3^6*31</f>
        <v>22599</v>
      </c>
      <c r="T18" s="57">
        <f>$T19-T6</f>
        <v>5.3350860374303766</v>
      </c>
      <c r="U18" s="57">
        <f>$T19-U6</f>
        <v>5.3620463326328105</v>
      </c>
      <c r="V18" s="18" t="str">
        <f t="shared" ref="V18:V49" si="8">IF(T18&lt;$M18,"low",IF(T18&gt;$M19,"high",""))</f>
        <v/>
      </c>
      <c r="W18" s="18" t="str">
        <f t="shared" ref="W18:W42" si="9">IF(U18=0,"",IF(U18&lt;$M18,"low",IF(U18&gt;$M19,"high","")))</f>
        <v/>
      </c>
      <c r="X18" s="58" t="str">
        <f t="shared" ref="X18:X49" si="10">IF(ABS(T18-T17)&lt;10^-10,"same","")</f>
        <v/>
      </c>
    </row>
    <row r="19" spans="1:24" ht="13.5">
      <c r="A19" s="6"/>
      <c r="B19" s="6"/>
      <c r="C19" s="14"/>
      <c r="D19" s="6"/>
      <c r="E19" s="6"/>
      <c r="F19" s="6"/>
      <c r="G19" s="1"/>
      <c r="H19" s="1"/>
      <c r="I19" s="1"/>
      <c r="J19" s="72">
        <f t="shared" si="4"/>
        <v>5.6110625307454383</v>
      </c>
      <c r="K19" s="4" t="s">
        <v>28</v>
      </c>
      <c r="L19" s="1">
        <f t="shared" si="5"/>
        <v>12</v>
      </c>
      <c r="M19" s="9">
        <f t="shared" si="6"/>
        <v>5.6110625307454383</v>
      </c>
      <c r="N19" s="4" t="s">
        <v>28</v>
      </c>
      <c r="O19" s="1">
        <f t="shared" si="7"/>
        <v>12</v>
      </c>
      <c r="P19" s="11">
        <f t="shared" si="0"/>
        <v>5.757802203385201</v>
      </c>
      <c r="Q19" s="20" t="s">
        <v>29</v>
      </c>
      <c r="R19" s="12">
        <f>3^6*7</f>
        <v>5103</v>
      </c>
      <c r="S19" s="12">
        <f>2^10*5</f>
        <v>5120</v>
      </c>
      <c r="T19" s="57">
        <f>P19</f>
        <v>5.757802203385201</v>
      </c>
      <c r="V19" s="18" t="str">
        <f>IF(T19&lt;$M19,"low",IF(T19&gt;$M21,"high",""))</f>
        <v/>
      </c>
      <c r="W19" s="18" t="str">
        <f>IF(U19=0,"",IF(U19&lt;$M19,"low",IF(U19&gt;$M21,"high","")))</f>
        <v/>
      </c>
      <c r="X19" s="58" t="str">
        <f t="shared" si="10"/>
        <v/>
      </c>
    </row>
    <row r="20" spans="1:24" ht="13.5">
      <c r="A20" s="6"/>
      <c r="B20" s="6"/>
      <c r="C20" s="14"/>
      <c r="D20" s="6"/>
      <c r="E20" s="6"/>
      <c r="F20" s="6"/>
      <c r="G20" s="1"/>
      <c r="H20" s="1"/>
      <c r="I20" s="1"/>
      <c r="J20" s="72"/>
      <c r="K20" s="4"/>
      <c r="L20" s="1"/>
      <c r="M20" s="9">
        <f>(P19+P20)/2</f>
        <v>5.9205229087304581</v>
      </c>
      <c r="N20" s="4" t="s">
        <v>2077</v>
      </c>
      <c r="O20" s="68">
        <f>O19+(M20-M19)/$M$3</f>
        <v>12.634246067893123</v>
      </c>
      <c r="P20" s="13">
        <f>1200*LN($S20/$R20)/LN(2)</f>
        <v>6.0832436140757142</v>
      </c>
      <c r="Q20" s="6" t="s">
        <v>362</v>
      </c>
      <c r="R20" s="6">
        <f>5^5</f>
        <v>3125</v>
      </c>
      <c r="S20" s="6">
        <f>2^6*7^2</f>
        <v>3136</v>
      </c>
      <c r="T20" s="57">
        <f>$T29-$T10-T8</f>
        <v>5.9433515652689888</v>
      </c>
      <c r="U20" s="57">
        <f>$T29-$T10-U8</f>
        <v>5.9574037326634457</v>
      </c>
      <c r="V20" s="18"/>
      <c r="W20" s="18"/>
      <c r="X20" s="58"/>
    </row>
    <row r="21" spans="1:24" ht="13.5">
      <c r="A21" s="6"/>
      <c r="B21" s="6"/>
      <c r="C21" s="14"/>
      <c r="D21" s="6"/>
      <c r="E21" s="6"/>
      <c r="F21" s="6"/>
      <c r="G21" s="1"/>
      <c r="H21" s="1"/>
      <c r="I21" s="1"/>
      <c r="J21" s="72">
        <f>M21</f>
        <v>6.0989810116798244</v>
      </c>
      <c r="K21" s="4" t="s">
        <v>30</v>
      </c>
      <c r="L21" s="1">
        <f>O21</f>
        <v>13</v>
      </c>
      <c r="M21" s="9">
        <f>(O21+O19)/2*M$3</f>
        <v>6.0989810116798244</v>
      </c>
      <c r="N21" s="4" t="s">
        <v>30</v>
      </c>
      <c r="O21" s="1">
        <f>O19+1</f>
        <v>13</v>
      </c>
      <c r="P21" s="13">
        <f>1200*LN($S21/$R21)/LN(2)</f>
        <v>6.478999484827944</v>
      </c>
      <c r="Q21" s="23" t="s">
        <v>314</v>
      </c>
      <c r="R21" s="23">
        <f>3^7*5</f>
        <v>10935</v>
      </c>
      <c r="S21" s="23">
        <f>2^5*7^3</f>
        <v>10976</v>
      </c>
      <c r="T21" s="57">
        <f>$T19+T6</f>
        <v>6.1805183693400254</v>
      </c>
      <c r="U21" s="57">
        <f>$T19+U6</f>
        <v>6.1535580741375915</v>
      </c>
      <c r="V21" s="18" t="str">
        <f t="shared" si="8"/>
        <v/>
      </c>
      <c r="W21" s="18" t="str">
        <f t="shared" si="9"/>
        <v/>
      </c>
      <c r="X21" s="58" t="str">
        <f>IF(ABS(T21-T19)&lt;10^-10,"same","")</f>
        <v/>
      </c>
    </row>
    <row r="22" spans="1:24" ht="13.5">
      <c r="A22" s="6"/>
      <c r="B22" s="6"/>
      <c r="C22" s="14"/>
      <c r="D22" s="6">
        <f>$M22</f>
        <v>6.5868994926142106</v>
      </c>
      <c r="E22" s="4" t="s">
        <v>38</v>
      </c>
      <c r="F22" s="31">
        <v>3</v>
      </c>
      <c r="G22" s="6">
        <f>$M22</f>
        <v>6.5868994926142106</v>
      </c>
      <c r="H22" s="10" t="str">
        <f>IF($H$2="N","'|(",IF($H$2="Y","'|(",".~|"))</f>
        <v>.~|</v>
      </c>
      <c r="I22" s="31">
        <v>4</v>
      </c>
      <c r="J22" s="72">
        <f>M22</f>
        <v>6.5868994926142106</v>
      </c>
      <c r="K22" s="4" t="s">
        <v>1920</v>
      </c>
      <c r="L22" s="1">
        <f>O22</f>
        <v>14</v>
      </c>
      <c r="M22" s="9">
        <f>(O22+O21)/2*M$3</f>
        <v>6.5868994926142106</v>
      </c>
      <c r="N22" s="4" t="s">
        <v>1920</v>
      </c>
      <c r="O22" s="1">
        <f>O21+1</f>
        <v>14</v>
      </c>
      <c r="P22" s="13">
        <f>1200*LN($S22/$R22)/LN(2)</f>
        <v>6.7758757693704501</v>
      </c>
      <c r="Q22" s="6" t="s">
        <v>31</v>
      </c>
      <c r="R22" s="6">
        <f>3*5*17</f>
        <v>255</v>
      </c>
      <c r="S22" s="6">
        <f>2^8</f>
        <v>256</v>
      </c>
      <c r="T22" s="57">
        <f>$T29-$T10</f>
        <v>6.7758757693705878</v>
      </c>
      <c r="U22" s="19"/>
      <c r="V22" s="18" t="str">
        <f t="shared" si="8"/>
        <v/>
      </c>
      <c r="W22" s="18" t="str">
        <f t="shared" si="9"/>
        <v/>
      </c>
      <c r="X22" s="58" t="str">
        <f t="shared" si="10"/>
        <v/>
      </c>
    </row>
    <row r="23" spans="1:24" ht="13.5">
      <c r="A23" s="6"/>
      <c r="B23" s="6"/>
      <c r="C23" s="14"/>
      <c r="D23" s="6"/>
      <c r="E23" s="4"/>
      <c r="F23" s="31"/>
      <c r="G23" s="1">
        <f>$M23</f>
        <v>7.0748179735485959</v>
      </c>
      <c r="H23" s="10" t="s">
        <v>34</v>
      </c>
      <c r="I23" s="31">
        <f>IF($H$2="N",4,IF($H$2="Y",4,4.2))</f>
        <v>4.2</v>
      </c>
      <c r="J23" s="72">
        <f>M23</f>
        <v>7.0748179735485959</v>
      </c>
      <c r="K23" s="10" t="s">
        <v>32</v>
      </c>
      <c r="L23" s="1">
        <f>O23</f>
        <v>15</v>
      </c>
      <c r="M23" s="9">
        <f>(O23+O22)/2*M$3</f>
        <v>7.0748179735485959</v>
      </c>
      <c r="N23" s="42" t="s">
        <v>1938</v>
      </c>
      <c r="O23" s="1">
        <f>O22+1</f>
        <v>15</v>
      </c>
      <c r="P23" s="13">
        <f t="shared" ref="P23:P72" si="11">1200*LN($S23/$R23)/LN(2)</f>
        <v>7.1391195974238411</v>
      </c>
      <c r="Q23" s="6" t="s">
        <v>33</v>
      </c>
      <c r="R23" s="6">
        <f>2*11^2</f>
        <v>242</v>
      </c>
      <c r="S23" s="6">
        <f>3^5</f>
        <v>243</v>
      </c>
      <c r="T23" s="57">
        <f>$T29-$T10+T6</f>
        <v>7.1985919353254122</v>
      </c>
      <c r="U23" s="57">
        <f>$T29-$T10+U6</f>
        <v>7.1716316401229783</v>
      </c>
      <c r="V23" s="18" t="str">
        <f t="shared" si="8"/>
        <v/>
      </c>
      <c r="W23" s="18" t="str">
        <f t="shared" si="9"/>
        <v/>
      </c>
      <c r="X23" s="58" t="str">
        <f t="shared" si="10"/>
        <v/>
      </c>
    </row>
    <row r="24" spans="1:24" ht="13.5">
      <c r="A24" s="6"/>
      <c r="B24" s="6"/>
      <c r="C24" s="14"/>
      <c r="D24" s="6"/>
      <c r="E24" s="4"/>
      <c r="F24" s="31"/>
      <c r="G24" s="6"/>
      <c r="H24" s="4"/>
      <c r="I24" s="31"/>
      <c r="J24" s="74"/>
      <c r="K24" s="31"/>
      <c r="L24" s="31"/>
      <c r="M24" s="9">
        <f>(P23+P24)/2</f>
        <v>7.2274433589955738</v>
      </c>
      <c r="N24" s="10" t="s">
        <v>32</v>
      </c>
      <c r="O24" s="68">
        <f>O23+(M24-M23)/$M$3</f>
        <v>15.312809191311413</v>
      </c>
      <c r="P24" s="13">
        <f t="shared" si="11"/>
        <v>7.3157671205673074</v>
      </c>
      <c r="Q24" s="6" t="s">
        <v>317</v>
      </c>
      <c r="R24" s="6">
        <f>2^4*5^2*7^2</f>
        <v>19600</v>
      </c>
      <c r="S24" s="6">
        <f>3^9</f>
        <v>19683</v>
      </c>
      <c r="T24" s="57">
        <f>$T19+$T10-T6</f>
        <v>7.2888068253645359</v>
      </c>
      <c r="U24" s="57">
        <f>$T19+$T10-U6</f>
        <v>7.3157671205669699</v>
      </c>
      <c r="V24" s="18" t="str">
        <f t="shared" si="8"/>
        <v/>
      </c>
      <c r="W24" s="18" t="str">
        <f t="shared" si="9"/>
        <v/>
      </c>
      <c r="X24" s="58" t="str">
        <f t="shared" si="10"/>
        <v/>
      </c>
    </row>
    <row r="25" spans="1:24" ht="13.5">
      <c r="A25" s="6"/>
      <c r="B25" s="6"/>
      <c r="C25" s="14"/>
      <c r="D25" s="6"/>
      <c r="E25" s="6"/>
      <c r="F25" s="6"/>
      <c r="G25" s="1"/>
      <c r="H25" s="1"/>
      <c r="I25" s="1"/>
      <c r="J25" s="72">
        <f>M25</f>
        <v>7.562736454482982</v>
      </c>
      <c r="K25" s="10" t="s">
        <v>34</v>
      </c>
      <c r="L25" s="1">
        <f>O25</f>
        <v>16</v>
      </c>
      <c r="M25" s="9">
        <f>(O25+O23)/2*M$3</f>
        <v>7.562736454482982</v>
      </c>
      <c r="N25" s="10" t="s">
        <v>34</v>
      </c>
      <c r="O25" s="1">
        <f>O23+1</f>
        <v>16</v>
      </c>
      <c r="P25" s="11">
        <f t="shared" si="11"/>
        <v>7.7115229913197059</v>
      </c>
      <c r="Q25" s="12" t="s">
        <v>35</v>
      </c>
      <c r="R25" s="12">
        <f>2^5*7</f>
        <v>224</v>
      </c>
      <c r="S25" s="12">
        <f>3^2*5^2</f>
        <v>225</v>
      </c>
      <c r="T25" s="57">
        <f>$T19+$T10</f>
        <v>7.7115229913193604</v>
      </c>
      <c r="V25" s="18" t="str">
        <f t="shared" si="8"/>
        <v/>
      </c>
      <c r="W25" s="18" t="str">
        <f t="shared" si="9"/>
        <v/>
      </c>
      <c r="X25" s="58" t="str">
        <f t="shared" si="10"/>
        <v/>
      </c>
    </row>
    <row r="26" spans="1:24" ht="13.5">
      <c r="A26" s="6"/>
      <c r="B26" s="6"/>
      <c r="C26" s="14"/>
      <c r="D26" s="6"/>
      <c r="E26" s="6"/>
      <c r="F26" s="6"/>
      <c r="G26" s="1"/>
      <c r="H26" s="1"/>
      <c r="I26" s="1"/>
      <c r="J26" s="73"/>
      <c r="K26" s="1"/>
      <c r="L26" s="1"/>
      <c r="M26" s="9">
        <f>(P25+P26)/2</f>
        <v>7.8742436966647524</v>
      </c>
      <c r="N26" s="42" t="s">
        <v>1939</v>
      </c>
      <c r="O26" s="68">
        <f>O25+(M26-M25)/$M$3</f>
        <v>16.63844116251801</v>
      </c>
      <c r="P26" s="13">
        <f t="shared" si="11"/>
        <v>8.036964402009799</v>
      </c>
      <c r="Q26" s="6" t="s">
        <v>439</v>
      </c>
      <c r="R26" s="6">
        <f>2^9*5^4</f>
        <v>320000</v>
      </c>
      <c r="S26" s="6">
        <f>3^8*7^2</f>
        <v>321489</v>
      </c>
      <c r="T26" s="57">
        <f>$T29-T8</f>
        <v>7.8970723532031482</v>
      </c>
      <c r="U26" s="57">
        <f>$T29-U8</f>
        <v>7.9111245205976051</v>
      </c>
      <c r="V26" s="18" t="str">
        <f t="shared" si="8"/>
        <v/>
      </c>
      <c r="W26" s="18" t="str">
        <f t="shared" si="9"/>
        <v/>
      </c>
      <c r="X26" s="58" t="str">
        <f t="shared" si="10"/>
        <v/>
      </c>
    </row>
    <row r="27" spans="1:24" ht="13.5">
      <c r="A27" s="6">
        <f>$M27</f>
        <v>8.0506549354173682</v>
      </c>
      <c r="B27" s="4" t="str">
        <f>IF($B$2&gt;10,")|(","~|")</f>
        <v>)|(</v>
      </c>
      <c r="C27" s="31">
        <v>2</v>
      </c>
      <c r="D27" s="6"/>
      <c r="E27" s="6"/>
      <c r="F27" s="6"/>
      <c r="G27" s="1">
        <f>$M27</f>
        <v>8.0506549354173682</v>
      </c>
      <c r="H27" s="10" t="str">
        <f>IF($H$2="N","'|(",IF($H$2="Y","~|","~|"))</f>
        <v>~|</v>
      </c>
      <c r="I27" s="31">
        <f>IF($H$2="N",4,IF($H$2="Y",4.6,4.6))</f>
        <v>4.5999999999999996</v>
      </c>
      <c r="J27" s="72">
        <f>M27</f>
        <v>8.0506549354173682</v>
      </c>
      <c r="K27" s="42" t="s">
        <v>1942</v>
      </c>
      <c r="L27" s="1">
        <f>O27</f>
        <v>17</v>
      </c>
      <c r="M27" s="9">
        <f>(O27+O25)/2*M$3</f>
        <v>8.0506549354173682</v>
      </c>
      <c r="N27" s="10" t="s">
        <v>36</v>
      </c>
      <c r="O27" s="1">
        <f>O25+1</f>
        <v>17</v>
      </c>
      <c r="P27" s="13">
        <f t="shared" si="11"/>
        <v>8.107278862072004</v>
      </c>
      <c r="Q27" s="23" t="s">
        <v>291</v>
      </c>
      <c r="R27" s="23">
        <f>2^6*3^5</f>
        <v>15552</v>
      </c>
      <c r="S27" s="23">
        <f>5^6</f>
        <v>15625</v>
      </c>
      <c r="T27" s="57">
        <f>$T19+$T10+T6</f>
        <v>8.1342391572741839</v>
      </c>
      <c r="U27" s="57">
        <f>$T19+$T10+U6</f>
        <v>8.10727886207175</v>
      </c>
      <c r="V27" s="18" t="str">
        <f t="shared" si="8"/>
        <v/>
      </c>
      <c r="W27" s="18" t="str">
        <f t="shared" si="9"/>
        <v/>
      </c>
      <c r="X27" s="58" t="str">
        <f t="shared" si="10"/>
        <v/>
      </c>
    </row>
    <row r="28" spans="1:24" ht="13.5">
      <c r="A28" s="6"/>
      <c r="B28" s="6"/>
      <c r="C28" s="14"/>
      <c r="D28" s="6"/>
      <c r="E28" s="6"/>
      <c r="F28" s="6"/>
      <c r="G28" s="1"/>
      <c r="H28" s="1"/>
      <c r="I28" s="1"/>
      <c r="J28" s="73"/>
      <c r="K28" s="1"/>
      <c r="L28" s="1"/>
      <c r="M28" s="9">
        <f>(P27+P28)/2</f>
        <v>8.2699995674171056</v>
      </c>
      <c r="N28" s="42" t="s">
        <v>1942</v>
      </c>
      <c r="O28" s="68">
        <f>O27+(M28-M27)/$M$3</f>
        <v>17.449551801316652</v>
      </c>
      <c r="P28" s="13">
        <f>1200*LN($S28/$R28)/LN(2)</f>
        <v>8.4327202727622055</v>
      </c>
      <c r="Q28" s="6" t="s">
        <v>37</v>
      </c>
      <c r="R28" s="6">
        <f>2^10</f>
        <v>1024</v>
      </c>
      <c r="S28" s="6">
        <f>3*7^3</f>
        <v>1029</v>
      </c>
      <c r="T28" s="57">
        <f>$T29-T6</f>
        <v>8.3068803913499227</v>
      </c>
      <c r="U28" s="57">
        <f>$T29-U6</f>
        <v>8.3338406865523567</v>
      </c>
      <c r="V28" s="18" t="str">
        <f t="shared" si="8"/>
        <v/>
      </c>
      <c r="W28" s="18" t="str">
        <f t="shared" si="9"/>
        <v/>
      </c>
      <c r="X28" s="58" t="str">
        <f t="shared" si="10"/>
        <v/>
      </c>
    </row>
    <row r="29" spans="1:24" ht="13.5">
      <c r="A29" s="6"/>
      <c r="B29" s="4"/>
      <c r="C29" s="31"/>
      <c r="D29" s="6"/>
      <c r="E29" s="6"/>
      <c r="F29" s="6"/>
      <c r="G29" s="1"/>
      <c r="H29" s="1"/>
      <c r="I29" s="1"/>
      <c r="J29" s="72">
        <f>M29</f>
        <v>8.5385734163517544</v>
      </c>
      <c r="K29" s="4" t="s">
        <v>38</v>
      </c>
      <c r="L29" s="1">
        <f>O29</f>
        <v>18</v>
      </c>
      <c r="M29" s="9">
        <f>(O29+O27)/2*M$3</f>
        <v>8.5385734163517544</v>
      </c>
      <c r="N29" s="4" t="s">
        <v>38</v>
      </c>
      <c r="O29" s="1">
        <f>O27+1</f>
        <v>18</v>
      </c>
      <c r="P29" s="11">
        <f t="shared" si="11"/>
        <v>8.7295965573047472</v>
      </c>
      <c r="Q29" s="12" t="s">
        <v>39</v>
      </c>
      <c r="R29" s="12">
        <f>2^7*17</f>
        <v>2176</v>
      </c>
      <c r="S29" s="12">
        <f>3^7</f>
        <v>2187</v>
      </c>
      <c r="T29" s="57">
        <f>P29</f>
        <v>8.7295965573047472</v>
      </c>
      <c r="V29" s="18" t="str">
        <f t="shared" si="8"/>
        <v/>
      </c>
      <c r="W29" s="18" t="str">
        <f t="shared" si="9"/>
        <v/>
      </c>
      <c r="X29" s="58" t="str">
        <f t="shared" si="10"/>
        <v/>
      </c>
    </row>
    <row r="30" spans="1:24" ht="13.5">
      <c r="A30" s="6"/>
      <c r="B30" s="4"/>
      <c r="C30" s="31"/>
      <c r="D30" s="6"/>
      <c r="E30" s="6"/>
      <c r="F30" s="6"/>
      <c r="G30" s="6"/>
      <c r="H30" s="4"/>
      <c r="I30" s="31"/>
      <c r="J30" s="74"/>
      <c r="K30" s="31"/>
      <c r="L30" s="31"/>
      <c r="M30" s="9">
        <f>(P29+P30)/2</f>
        <v>8.7925164980108725</v>
      </c>
      <c r="N30" s="42" t="s">
        <v>1943</v>
      </c>
      <c r="O30" s="68">
        <f>O29+(M30-M29)/$M$3</f>
        <v>18.520462109106436</v>
      </c>
      <c r="P30" s="13">
        <f t="shared" si="11"/>
        <v>8.8554364387169997</v>
      </c>
      <c r="Q30" s="6" t="s">
        <v>605</v>
      </c>
      <c r="R30" s="6">
        <f>3*5*13</f>
        <v>195</v>
      </c>
      <c r="S30" s="6">
        <f>2^2*7^2</f>
        <v>196</v>
      </c>
      <c r="T30" s="57">
        <f>$T33-T8</f>
        <v>8.8554364387170974</v>
      </c>
      <c r="U30" s="57">
        <f>$T33-U8</f>
        <v>8.8694886061115543</v>
      </c>
      <c r="V30" s="18" t="str">
        <f t="shared" si="8"/>
        <v/>
      </c>
      <c r="W30" s="18" t="str">
        <f t="shared" si="9"/>
        <v/>
      </c>
      <c r="X30" s="58" t="str">
        <f t="shared" si="10"/>
        <v/>
      </c>
    </row>
    <row r="31" spans="1:24" ht="13.5">
      <c r="A31" s="6"/>
      <c r="B31" s="6"/>
      <c r="C31" s="14"/>
      <c r="D31" s="6">
        <f>$M31</f>
        <v>9.0264918972861405</v>
      </c>
      <c r="E31" s="4" t="s">
        <v>42</v>
      </c>
      <c r="F31" s="31">
        <v>4</v>
      </c>
      <c r="G31" s="6">
        <f>$M31</f>
        <v>9.0264918972861405</v>
      </c>
      <c r="H31" s="4" t="s">
        <v>42</v>
      </c>
      <c r="I31" s="1">
        <v>5</v>
      </c>
      <c r="J31" s="72">
        <f>M31</f>
        <v>9.0264918972861405</v>
      </c>
      <c r="K31" s="4" t="s">
        <v>40</v>
      </c>
      <c r="L31" s="1">
        <f>O31</f>
        <v>19</v>
      </c>
      <c r="M31" s="9">
        <f>(O31+O29)/2*M$3</f>
        <v>9.0264918972861405</v>
      </c>
      <c r="N31" s="4" t="s">
        <v>40</v>
      </c>
      <c r="O31" s="1">
        <f>O29+1</f>
        <v>19</v>
      </c>
      <c r="P31" s="13">
        <f t="shared" si="11"/>
        <v>9.1817711898016654</v>
      </c>
      <c r="Q31" s="23" t="s">
        <v>601</v>
      </c>
      <c r="R31" s="23">
        <f>2^17</f>
        <v>131072</v>
      </c>
      <c r="S31" s="23">
        <f>3^2*11^4</f>
        <v>131769</v>
      </c>
      <c r="T31" s="99">
        <f>$T33-T6</f>
        <v>9.265244476863872</v>
      </c>
      <c r="U31" s="57">
        <f>$T33-U6</f>
        <v>9.2922047720663059</v>
      </c>
      <c r="V31" s="18" t="str">
        <f>IF(T31&lt;$M31,"low",IF(T31&gt;$M32,"high",""))</f>
        <v/>
      </c>
      <c r="W31" s="18" t="str">
        <f>IF(U31=0,"",IF(U31&lt;$M31,"low",IF(U31&gt;$M32,"high","")))</f>
        <v/>
      </c>
      <c r="X31" s="58" t="str">
        <f>IF(ABS(T31-T30)&lt;10^-10,"same","")</f>
        <v/>
      </c>
    </row>
    <row r="32" spans="1:24" ht="13.5">
      <c r="A32" s="6"/>
      <c r="B32" s="6"/>
      <c r="C32" s="14"/>
      <c r="D32" s="6"/>
      <c r="E32" s="6"/>
      <c r="F32" s="6"/>
      <c r="G32" s="1"/>
      <c r="H32" s="1"/>
      <c r="I32" s="1"/>
      <c r="J32" s="72">
        <f>M32</f>
        <v>9.5144103782205267</v>
      </c>
      <c r="K32" s="4" t="s">
        <v>42</v>
      </c>
      <c r="L32" s="1">
        <f>O32</f>
        <v>20</v>
      </c>
      <c r="M32" s="9">
        <f>(O32+O31)/2*M$3</f>
        <v>9.5144103782205267</v>
      </c>
      <c r="N32" s="42" t="s">
        <v>2078</v>
      </c>
      <c r="O32" s="1">
        <f>O31+1</f>
        <v>20</v>
      </c>
      <c r="P32" s="13">
        <f t="shared" si="11"/>
        <v>9.665243779253812</v>
      </c>
      <c r="Q32" s="23" t="s">
        <v>343</v>
      </c>
      <c r="R32" s="23">
        <f>2^20*7</f>
        <v>7340032</v>
      </c>
      <c r="S32" s="23">
        <f>3^10*5^3</f>
        <v>7381125</v>
      </c>
      <c r="T32" s="69">
        <f>$T29+T8</f>
        <v>9.5621207614063461</v>
      </c>
      <c r="U32" s="69">
        <f>$T29+U8</f>
        <v>9.5480685940118892</v>
      </c>
      <c r="V32" s="18" t="str">
        <f>IF(T33&lt;$M32,"low",IF(T33&gt;$M34,"high",""))</f>
        <v/>
      </c>
      <c r="W32" s="18" t="str">
        <f>IF(U32=0,"",IF(U32&lt;$M32,"low",IF(U32&gt;$M34,"high","")))</f>
        <v/>
      </c>
      <c r="X32" s="58" t="str">
        <f>IF(ABS(T33-T31)&lt;10^-10,"same","")</f>
        <v/>
      </c>
    </row>
    <row r="33" spans="1:24" ht="13.5">
      <c r="A33" s="6"/>
      <c r="B33" s="6"/>
      <c r="C33" s="14"/>
      <c r="D33" s="6"/>
      <c r="E33" s="6"/>
      <c r="F33" s="6"/>
      <c r="G33" s="1"/>
      <c r="H33" s="1"/>
      <c r="I33" s="1"/>
      <c r="J33" s="72"/>
      <c r="K33" s="4"/>
      <c r="L33" s="1"/>
      <c r="M33" s="9">
        <f>(P32+P33)/2</f>
        <v>9.6766022110362542</v>
      </c>
      <c r="N33" s="4" t="s">
        <v>42</v>
      </c>
      <c r="O33" s="68">
        <f>O32+(M33-M32)/$M$3</f>
        <v>20.332415842304481</v>
      </c>
      <c r="P33" s="11">
        <f t="shared" si="11"/>
        <v>9.6879606428186964</v>
      </c>
      <c r="Q33" s="12" t="s">
        <v>43</v>
      </c>
      <c r="R33" s="12">
        <f>3^4*11</f>
        <v>891</v>
      </c>
      <c r="S33" s="15">
        <f>2^7*7</f>
        <v>896</v>
      </c>
      <c r="T33" s="57">
        <f>P33</f>
        <v>9.6879606428186964</v>
      </c>
      <c r="V33" s="18"/>
      <c r="W33" s="18"/>
      <c r="X33" s="58"/>
    </row>
    <row r="34" spans="1:24" ht="13.5">
      <c r="A34" s="6"/>
      <c r="B34" s="6"/>
      <c r="C34" s="14"/>
      <c r="D34" s="6"/>
      <c r="E34" s="6"/>
      <c r="F34" s="6"/>
      <c r="G34" s="1"/>
      <c r="H34" s="1"/>
      <c r="I34" s="1"/>
      <c r="J34" s="72">
        <f t="shared" ref="J34:J123" si="12">M34</f>
        <v>10.002328859154911</v>
      </c>
      <c r="K34" s="4" t="s">
        <v>44</v>
      </c>
      <c r="L34" s="1">
        <f t="shared" ref="L34:L123" si="13">O34</f>
        <v>21</v>
      </c>
      <c r="M34" s="9">
        <f>(O34+O32)/2*M$3</f>
        <v>10.002328859154911</v>
      </c>
      <c r="N34" s="4" t="s">
        <v>44</v>
      </c>
      <c r="O34" s="1">
        <f>O32+1</f>
        <v>21</v>
      </c>
      <c r="P34" s="13">
        <f>1200*LN($S34/$R34)/LN(2)</f>
        <v>10.260364036714352</v>
      </c>
      <c r="Q34" s="6" t="s">
        <v>553</v>
      </c>
      <c r="R34" s="6">
        <f>3^7</f>
        <v>2187</v>
      </c>
      <c r="S34" s="6">
        <f>2^3*5^2*11</f>
        <v>2200</v>
      </c>
      <c r="T34" s="57">
        <f>$T33+T6</f>
        <v>10.110676808773521</v>
      </c>
      <c r="U34" s="57">
        <f>$T33+U6</f>
        <v>10.083716513571087</v>
      </c>
      <c r="V34" s="18" t="str">
        <f>IF(T34&lt;$M34,"low",IF(T34&gt;$M35,"high",""))</f>
        <v/>
      </c>
      <c r="W34" s="18" t="str">
        <f>IF(U34=0,"",IF(U34&lt;$M34,"low",IF(U34&gt;$M35,"high","")))</f>
        <v/>
      </c>
      <c r="X34" s="58" t="str">
        <f>IF(ABS(T34-T33)&lt;10^-10,"same","")</f>
        <v/>
      </c>
    </row>
    <row r="35" spans="1:24" ht="13.5">
      <c r="A35" s="6"/>
      <c r="B35" s="6"/>
      <c r="C35" s="14"/>
      <c r="D35" s="6"/>
      <c r="E35" s="6"/>
      <c r="F35" s="6"/>
      <c r="G35" s="1"/>
      <c r="H35" s="1"/>
      <c r="I35" s="1"/>
      <c r="J35" s="72">
        <f t="shared" si="12"/>
        <v>10.490247340089297</v>
      </c>
      <c r="K35" s="90" t="s">
        <v>46</v>
      </c>
      <c r="L35" s="1">
        <f t="shared" si="13"/>
        <v>22</v>
      </c>
      <c r="M35" s="9">
        <f>(O35+O34)/2*M$3</f>
        <v>10.490247340089297</v>
      </c>
      <c r="N35" s="4" t="s">
        <v>46</v>
      </c>
      <c r="O35" s="1">
        <f>O34+1</f>
        <v>22</v>
      </c>
      <c r="P35" s="13">
        <f>1200*LN($S35/$R35)/LN(2)</f>
        <v>10.809157226651013</v>
      </c>
      <c r="Q35" s="6" t="s">
        <v>484</v>
      </c>
      <c r="R35" s="6">
        <f>2^13*13</f>
        <v>106496</v>
      </c>
      <c r="S35" s="6">
        <f>3^7*7^2</f>
        <v>107163</v>
      </c>
      <c r="T35" s="57">
        <f>$T33+T8</f>
        <v>10.520484846920295</v>
      </c>
      <c r="U35" s="57">
        <f>$T33+U8</f>
        <v>10.506432679525838</v>
      </c>
      <c r="V35" s="18" t="str">
        <f>IF(T35&lt;$M35,"low",IF(T35&gt;$M36,"high",""))</f>
        <v/>
      </c>
      <c r="W35" s="18" t="str">
        <f>IF(U35=0,"",IF(U35&lt;$M35,"low",IF(U35&gt;$M36,"high","")))</f>
        <v/>
      </c>
      <c r="X35" s="58" t="str">
        <f>IF(ABS(T35-T34)&lt;10^-10,"same","")</f>
        <v/>
      </c>
    </row>
    <row r="36" spans="1:24" ht="13.5">
      <c r="A36" s="6"/>
      <c r="B36" s="6"/>
      <c r="C36" s="14"/>
      <c r="D36" s="6">
        <f>$M36</f>
        <v>10.978165821023683</v>
      </c>
      <c r="E36" s="4" t="s">
        <v>52</v>
      </c>
      <c r="F36" s="31">
        <v>5</v>
      </c>
      <c r="G36" s="6">
        <f>$M36</f>
        <v>10.978165821023683</v>
      </c>
      <c r="H36" s="10" t="s">
        <v>50</v>
      </c>
      <c r="I36" s="56">
        <v>6</v>
      </c>
      <c r="J36" s="72">
        <f t="shared" si="12"/>
        <v>10.978165821023683</v>
      </c>
      <c r="K36" s="10" t="s">
        <v>48</v>
      </c>
      <c r="L36" s="1">
        <f t="shared" si="13"/>
        <v>23</v>
      </c>
      <c r="M36" s="9">
        <f>(O36+O35)/2*M$3</f>
        <v>10.978165821023683</v>
      </c>
      <c r="N36" s="10" t="s">
        <v>48</v>
      </c>
      <c r="O36" s="1">
        <f>O35+1</f>
        <v>23</v>
      </c>
      <c r="P36" s="13">
        <f>1200*LN($S36/$R36)/LN(2)</f>
        <v>11.119848536018317</v>
      </c>
      <c r="Q36" s="6" t="s">
        <v>414</v>
      </c>
      <c r="R36" s="6">
        <f>3^5*5^2*7^3</f>
        <v>2083725</v>
      </c>
      <c r="S36" s="6">
        <f>2^21</f>
        <v>2097152</v>
      </c>
      <c r="T36" s="57">
        <f>$T33+$T10-T6</f>
        <v>11.218965264798031</v>
      </c>
      <c r="U36" s="68">
        <f>$T33+$T10-U6</f>
        <v>11.245925560000465</v>
      </c>
      <c r="V36" s="18" t="str">
        <f t="shared" si="8"/>
        <v/>
      </c>
      <c r="W36" s="18" t="str">
        <f t="shared" si="9"/>
        <v>high</v>
      </c>
      <c r="X36" s="58" t="str">
        <f t="shared" si="10"/>
        <v/>
      </c>
    </row>
    <row r="37" spans="1:24" ht="13.5">
      <c r="A37" s="6"/>
      <c r="B37" s="6"/>
      <c r="C37" s="14"/>
      <c r="D37" s="6"/>
      <c r="E37" s="4"/>
      <c r="F37" s="31"/>
      <c r="G37" s="6"/>
      <c r="H37" s="10"/>
      <c r="I37" s="56"/>
      <c r="J37" s="72"/>
      <c r="K37" s="10"/>
      <c r="L37" s="1"/>
      <c r="M37" s="9">
        <f>(P36+P37)/2</f>
        <v>11.236121817448893</v>
      </c>
      <c r="N37" s="42" t="s">
        <v>1946</v>
      </c>
      <c r="O37" s="68">
        <f>O36+(M37-M36)/$M$3</f>
        <v>23.528686668992762</v>
      </c>
      <c r="P37" s="13">
        <f>1200*LN($S37/$R37)/LN(2)</f>
        <v>11.352395098879471</v>
      </c>
      <c r="Q37" s="6" t="s">
        <v>49</v>
      </c>
      <c r="R37" s="14">
        <f>2^3*19</f>
        <v>152</v>
      </c>
      <c r="S37" s="22">
        <f>3^2*17</f>
        <v>153</v>
      </c>
      <c r="T37" s="68">
        <f>$T40-T8</f>
        <v>11.231873392606103</v>
      </c>
      <c r="U37" s="57">
        <f>$T40-U8</f>
        <v>11.245925560000559</v>
      </c>
      <c r="V37" s="18" t="str">
        <f t="shared" si="8"/>
        <v>low</v>
      </c>
      <c r="W37" s="18" t="str">
        <f t="shared" si="9"/>
        <v/>
      </c>
      <c r="X37" s="58" t="str">
        <f t="shared" si="10"/>
        <v/>
      </c>
    </row>
    <row r="38" spans="1:24" ht="13.5">
      <c r="A38" s="6"/>
      <c r="B38" s="6"/>
      <c r="C38" s="14"/>
      <c r="D38" s="6"/>
      <c r="E38" s="6"/>
      <c r="F38" s="6"/>
      <c r="G38" s="1"/>
      <c r="H38" s="1"/>
      <c r="I38" s="1"/>
      <c r="J38" s="72">
        <f t="shared" si="12"/>
        <v>11.46608430195807</v>
      </c>
      <c r="K38" s="10" t="s">
        <v>50</v>
      </c>
      <c r="L38" s="1">
        <f t="shared" si="13"/>
        <v>24</v>
      </c>
      <c r="M38" s="9">
        <f>(O38+O36)/2*M$3</f>
        <v>11.46608430195807</v>
      </c>
      <c r="N38" s="10" t="s">
        <v>50</v>
      </c>
      <c r="O38" s="1">
        <f>O36+1</f>
        <v>24</v>
      </c>
      <c r="P38" s="11">
        <f t="shared" si="11"/>
        <v>11.641681430752847</v>
      </c>
      <c r="Q38" s="12" t="s">
        <v>51</v>
      </c>
      <c r="R38" s="12">
        <f>2^8*11</f>
        <v>2816</v>
      </c>
      <c r="S38" s="12">
        <f>3^4*5*7</f>
        <v>2835</v>
      </c>
      <c r="T38" s="57">
        <f>$T33+$T10</f>
        <v>11.641681430752856</v>
      </c>
      <c r="V38" s="18" t="str">
        <f t="shared" si="8"/>
        <v/>
      </c>
      <c r="W38" s="18" t="str">
        <f t="shared" si="9"/>
        <v/>
      </c>
      <c r="X38" s="58" t="str">
        <f t="shared" si="10"/>
        <v/>
      </c>
    </row>
    <row r="39" spans="1:24" ht="13.5">
      <c r="A39" s="6"/>
      <c r="B39" s="6"/>
      <c r="C39" s="14"/>
      <c r="D39" s="6"/>
      <c r="E39" s="6"/>
      <c r="F39" s="6"/>
      <c r="G39" s="1"/>
      <c r="H39" s="1"/>
      <c r="I39" s="1"/>
      <c r="J39" s="72"/>
      <c r="K39" s="10"/>
      <c r="L39" s="1"/>
      <c r="M39" s="9">
        <f>(P38+P39)/2</f>
        <v>11.73000519232459</v>
      </c>
      <c r="N39" s="42" t="s">
        <v>1947</v>
      </c>
      <c r="O39" s="68">
        <f>O38+(M39-M38)/$M$3</f>
        <v>24.540911854498933</v>
      </c>
      <c r="P39" s="13">
        <f>1200*LN($S39/$R39)/LN(2)</f>
        <v>11.818328953896335</v>
      </c>
      <c r="Q39" s="14" t="s">
        <v>268</v>
      </c>
      <c r="R39" s="14">
        <f>2^11*5*7</f>
        <v>71680</v>
      </c>
      <c r="S39" s="14">
        <f>3^8*11</f>
        <v>72171</v>
      </c>
      <c r="T39" s="68">
        <f>$T40-T6</f>
        <v>11.641681430752877</v>
      </c>
      <c r="U39" s="68">
        <f>$T40-U6</f>
        <v>11.668641725955311</v>
      </c>
      <c r="V39" s="18" t="str">
        <f t="shared" si="8"/>
        <v>low</v>
      </c>
      <c r="W39" s="18" t="str">
        <f t="shared" si="9"/>
        <v>low</v>
      </c>
      <c r="X39" s="58" t="str">
        <f t="shared" si="10"/>
        <v>same</v>
      </c>
    </row>
    <row r="40" spans="1:24" ht="13.5">
      <c r="A40" s="6"/>
      <c r="B40" s="6"/>
      <c r="C40" s="14"/>
      <c r="D40" s="6"/>
      <c r="E40" s="6"/>
      <c r="F40" s="6"/>
      <c r="G40" s="6">
        <f>$M40</f>
        <v>11.954002782892456</v>
      </c>
      <c r="H40" s="10" t="str">
        <f>IF($H$2="N","')|(",IF($H$2="Y","')|(",")~|"))</f>
        <v>)~|</v>
      </c>
      <c r="I40" s="31">
        <f>IF($H$2="N",6,IF($H$2="Y",6,6.4))</f>
        <v>6.4</v>
      </c>
      <c r="J40" s="72">
        <f t="shared" si="12"/>
        <v>11.954002782892456</v>
      </c>
      <c r="K40" s="4" t="s">
        <v>52</v>
      </c>
      <c r="L40" s="1">
        <f t="shared" si="13"/>
        <v>25</v>
      </c>
      <c r="M40" s="9">
        <f>(O40+O38)/2*M$3</f>
        <v>11.954002782892456</v>
      </c>
      <c r="N40" s="4" t="s">
        <v>52</v>
      </c>
      <c r="O40" s="1">
        <f>O38+1</f>
        <v>25</v>
      </c>
      <c r="P40" s="11">
        <f t="shared" si="11"/>
        <v>12.064397596707702</v>
      </c>
      <c r="Q40" s="12" t="s">
        <v>53</v>
      </c>
      <c r="R40" s="12">
        <f>11*13</f>
        <v>143</v>
      </c>
      <c r="S40" s="12">
        <f>2^4*3^2</f>
        <v>144</v>
      </c>
      <c r="T40" s="57">
        <f>P40</f>
        <v>12.064397596707702</v>
      </c>
      <c r="V40" s="18" t="str">
        <f t="shared" si="8"/>
        <v/>
      </c>
      <c r="W40" s="18" t="str">
        <f t="shared" si="9"/>
        <v/>
      </c>
      <c r="X40" s="58" t="str">
        <f t="shared" si="10"/>
        <v/>
      </c>
    </row>
    <row r="41" spans="1:24" ht="13.5">
      <c r="A41" s="6"/>
      <c r="B41" s="6"/>
      <c r="C41" s="14"/>
      <c r="D41" s="6"/>
      <c r="E41" s="6"/>
      <c r="F41" s="6"/>
      <c r="G41" s="6">
        <f>$M41</f>
        <v>12.441921263826842</v>
      </c>
      <c r="H41" s="10" t="str">
        <f>IF($H$2="N","')|(",IF($H$2="Y",".~|(",".~|("))</f>
        <v>.~|(</v>
      </c>
      <c r="I41" s="31">
        <f>IF($H$2="N",6,IF($H$2="Y",6.6,6.6))</f>
        <v>6.6</v>
      </c>
      <c r="J41" s="72">
        <f t="shared" si="12"/>
        <v>12.441921263826842</v>
      </c>
      <c r="K41" s="4" t="s">
        <v>54</v>
      </c>
      <c r="L41" s="1">
        <f t="shared" si="13"/>
        <v>26</v>
      </c>
      <c r="M41" s="9">
        <f>(O41+O40)/2*M$3</f>
        <v>12.441921263826842</v>
      </c>
      <c r="N41" s="42" t="s">
        <v>1949</v>
      </c>
      <c r="O41" s="1">
        <f>O40+1</f>
        <v>26</v>
      </c>
      <c r="P41" s="13">
        <f>1200*LN($S41/$R41)/LN(2)</f>
        <v>12.650853157998011</v>
      </c>
      <c r="Q41" s="6" t="s">
        <v>412</v>
      </c>
      <c r="R41" s="6">
        <f>2^6*7^2</f>
        <v>3136</v>
      </c>
      <c r="S41" s="6">
        <f>3^5*13</f>
        <v>3159</v>
      </c>
      <c r="T41" s="69">
        <f>$T40+T6</f>
        <v>12.487113762662526</v>
      </c>
      <c r="U41" s="69">
        <f>$T40+U6</f>
        <v>12.460153467460092</v>
      </c>
      <c r="V41" s="18" t="str">
        <f t="shared" si="8"/>
        <v/>
      </c>
      <c r="W41" s="18" t="str">
        <f t="shared" si="9"/>
        <v/>
      </c>
      <c r="X41" s="58" t="str">
        <f t="shared" si="10"/>
        <v/>
      </c>
    </row>
    <row r="42" spans="1:24" ht="13.5">
      <c r="A42" s="6"/>
      <c r="B42" s="6"/>
      <c r="C42" s="14"/>
      <c r="D42" s="6"/>
      <c r="E42" s="6"/>
      <c r="F42" s="6"/>
      <c r="G42" s="6"/>
      <c r="H42" s="4"/>
      <c r="I42" s="31"/>
      <c r="J42" s="72"/>
      <c r="K42" s="4"/>
      <c r="L42" s="1"/>
      <c r="M42" s="9">
        <f>(P41+P42)/2</f>
        <v>12.713773098704028</v>
      </c>
      <c r="N42" s="4" t="s">
        <v>54</v>
      </c>
      <c r="O42" s="68">
        <f>O41+(M42-M41)/$M$3</f>
        <v>26.557166505266572</v>
      </c>
      <c r="P42" s="11">
        <f>1200*LN($S42/$R42)/LN(2)</f>
        <v>12.776693039410047</v>
      </c>
      <c r="Q42" s="12" t="s">
        <v>55</v>
      </c>
      <c r="R42" s="12">
        <f>5*3^3</f>
        <v>135</v>
      </c>
      <c r="S42" s="15">
        <f>2^3*17</f>
        <v>136</v>
      </c>
      <c r="T42" s="57">
        <f>$T49-$T10</f>
        <v>12.776693039410219</v>
      </c>
      <c r="V42" s="18" t="str">
        <f t="shared" si="8"/>
        <v/>
      </c>
      <c r="W42" s="18" t="str">
        <f t="shared" si="9"/>
        <v/>
      </c>
      <c r="X42" s="58" t="str">
        <f t="shared" si="10"/>
        <v/>
      </c>
    </row>
    <row r="43" spans="1:24" ht="13.5">
      <c r="A43" s="6"/>
      <c r="B43" s="6"/>
      <c r="C43" s="14"/>
      <c r="D43" s="6"/>
      <c r="E43" s="6"/>
      <c r="F43" s="6"/>
      <c r="G43" s="1"/>
      <c r="H43" s="1"/>
      <c r="I43" s="1"/>
      <c r="J43" s="72">
        <f t="shared" si="12"/>
        <v>12.929839744761228</v>
      </c>
      <c r="K43" s="4" t="s">
        <v>56</v>
      </c>
      <c r="L43" s="1">
        <f t="shared" si="13"/>
        <v>27</v>
      </c>
      <c r="M43" s="9">
        <f>(O43+O41)/2*M$3</f>
        <v>12.929839744761228</v>
      </c>
      <c r="N43" s="42" t="s">
        <v>1953</v>
      </c>
      <c r="O43" s="1">
        <f>O41+1</f>
        <v>27</v>
      </c>
      <c r="P43" s="13">
        <f>1200*LN($S43/$R43)/LN(2)</f>
        <v>13.07356932395248</v>
      </c>
      <c r="Q43" s="23" t="s">
        <v>57</v>
      </c>
      <c r="R43" s="23">
        <f>5*7^3</f>
        <v>1715</v>
      </c>
      <c r="S43" s="23">
        <f>2^6*3^3</f>
        <v>1728</v>
      </c>
      <c r="T43" s="16">
        <f>$T40+T8</f>
        <v>12.896921800809301</v>
      </c>
      <c r="U43" s="16">
        <f>$T40+U8</f>
        <v>12.882869633414844</v>
      </c>
      <c r="V43" s="18" t="str">
        <f t="shared" si="8"/>
        <v>low</v>
      </c>
      <c r="W43" s="18" t="str">
        <f t="shared" ref="W43:W49" si="14">IF(U43=0,"",IF(U43&lt;$M43,"low",IF(U43&gt;$M44,"high","")))</f>
        <v>low</v>
      </c>
      <c r="X43" s="58" t="str">
        <f t="shared" si="10"/>
        <v/>
      </c>
    </row>
    <row r="44" spans="1:24" ht="13.5">
      <c r="A44" s="6"/>
      <c r="B44" s="6"/>
      <c r="C44" s="14"/>
      <c r="D44" s="6"/>
      <c r="E44" s="6"/>
      <c r="F44" s="6"/>
      <c r="G44" s="1"/>
      <c r="H44" s="1"/>
      <c r="I44" s="1"/>
      <c r="J44" s="72"/>
      <c r="K44" s="4"/>
      <c r="L44" s="1"/>
      <c r="M44" s="9">
        <f>(P43+P44)/2</f>
        <v>13.171080046678291</v>
      </c>
      <c r="N44" s="4" t="s">
        <v>56</v>
      </c>
      <c r="O44" s="68">
        <f>O43+(M44-M43)/$M$3</f>
        <v>27.494427473735115</v>
      </c>
      <c r="P44" s="13">
        <f t="shared" si="11"/>
        <v>13.268590769404103</v>
      </c>
      <c r="Q44" s="23" t="s">
        <v>298</v>
      </c>
      <c r="R44" s="23">
        <f>3^5*23</f>
        <v>5589</v>
      </c>
      <c r="S44" s="23">
        <f>2^9*11</f>
        <v>5632</v>
      </c>
      <c r="T44" s="99">
        <f>$T49-$T10+T6</f>
        <v>13.199409205365043</v>
      </c>
      <c r="U44" s="99">
        <f>$T49-$T10+U6</f>
        <v>13.172448910162609</v>
      </c>
      <c r="V44" s="18" t="str">
        <f t="shared" si="8"/>
        <v/>
      </c>
      <c r="W44" s="18" t="str">
        <f t="shared" si="14"/>
        <v/>
      </c>
      <c r="X44" s="58" t="str">
        <f t="shared" si="10"/>
        <v/>
      </c>
    </row>
    <row r="45" spans="1:24" ht="13.5">
      <c r="A45" s="6">
        <f>$M45</f>
        <v>13.417758225695614</v>
      </c>
      <c r="B45" s="4" t="s">
        <v>62</v>
      </c>
      <c r="C45" s="31">
        <v>3</v>
      </c>
      <c r="D45" s="6">
        <f>$M45</f>
        <v>13.417758225695614</v>
      </c>
      <c r="E45" s="4" t="s">
        <v>62</v>
      </c>
      <c r="F45" s="31">
        <v>6</v>
      </c>
      <c r="G45" s="6">
        <f>$M45</f>
        <v>13.417758225695614</v>
      </c>
      <c r="H45" s="4" t="s">
        <v>62</v>
      </c>
      <c r="I45" s="31">
        <v>7</v>
      </c>
      <c r="J45" s="72">
        <f t="shared" si="12"/>
        <v>13.417758225695614</v>
      </c>
      <c r="K45" s="4" t="s">
        <v>58</v>
      </c>
      <c r="L45" s="1">
        <f t="shared" si="13"/>
        <v>28</v>
      </c>
      <c r="M45" s="9">
        <f>(O45+O43)/2*M$3</f>
        <v>13.417758225695614</v>
      </c>
      <c r="N45" s="4" t="s">
        <v>1950</v>
      </c>
      <c r="O45" s="1">
        <f>O43+1</f>
        <v>28</v>
      </c>
      <c r="P45" s="13">
        <f t="shared" si="11"/>
        <v>13.472706507904944</v>
      </c>
      <c r="Q45" s="21" t="s">
        <v>269</v>
      </c>
      <c r="R45" s="21">
        <f>2^7</f>
        <v>128</v>
      </c>
      <c r="S45" s="21">
        <f>3*43</f>
        <v>129</v>
      </c>
      <c r="T45" s="69">
        <f>$T49-$T10+T8</f>
        <v>13.609217243511818</v>
      </c>
      <c r="U45" s="69">
        <f>$T49-$T10+U8</f>
        <v>13.595165076117361</v>
      </c>
      <c r="V45" s="18" t="str">
        <f t="shared" si="8"/>
        <v/>
      </c>
      <c r="W45" s="18" t="str">
        <f t="shared" si="14"/>
        <v/>
      </c>
      <c r="X45" s="58" t="str">
        <f t="shared" si="10"/>
        <v/>
      </c>
    </row>
    <row r="46" spans="1:24" ht="13.5">
      <c r="A46" s="6"/>
      <c r="B46" s="4"/>
      <c r="C46" s="31"/>
      <c r="D46" s="6"/>
      <c r="E46" s="4"/>
      <c r="F46" s="31"/>
      <c r="G46" s="6"/>
      <c r="H46" s="4"/>
      <c r="I46" s="31"/>
      <c r="J46" s="72"/>
      <c r="K46" s="4"/>
      <c r="L46" s="1"/>
      <c r="M46" s="9">
        <f>(P45+P46)/2</f>
        <v>13.633736556650135</v>
      </c>
      <c r="N46" s="4" t="s">
        <v>58</v>
      </c>
      <c r="O46" s="68">
        <f>O45+(M46-M45)/$M$3</f>
        <v>28.442652490926172</v>
      </c>
      <c r="P46" s="13">
        <f>1200*LN($S46/$R46)/LN(2)</f>
        <v>13.794766605395326</v>
      </c>
      <c r="Q46" s="14" t="s">
        <v>59</v>
      </c>
      <c r="R46" s="14">
        <f>5^3</f>
        <v>125</v>
      </c>
      <c r="S46" s="14">
        <f>2*3^2*7</f>
        <v>126</v>
      </c>
      <c r="T46" s="57">
        <f>$T49-T8</f>
        <v>13.897889623242779</v>
      </c>
      <c r="U46" s="68">
        <f>$T49-U8</f>
        <v>13.911941790637236</v>
      </c>
      <c r="V46" s="18" t="str">
        <f t="shared" si="8"/>
        <v/>
      </c>
      <c r="W46" s="18" t="str">
        <f t="shared" si="14"/>
        <v>high</v>
      </c>
      <c r="X46" s="58" t="str">
        <f t="shared" si="10"/>
        <v/>
      </c>
    </row>
    <row r="47" spans="1:24" ht="13.5">
      <c r="A47" s="6"/>
      <c r="B47" s="6"/>
      <c r="C47" s="14"/>
      <c r="D47" s="6"/>
      <c r="E47" s="6"/>
      <c r="F47" s="6"/>
      <c r="G47" s="1"/>
      <c r="H47" s="1"/>
      <c r="I47" s="1"/>
      <c r="J47" s="72">
        <f t="shared" si="12"/>
        <v>13.905676706629999</v>
      </c>
      <c r="K47" s="4" t="s">
        <v>60</v>
      </c>
      <c r="L47" s="1">
        <f t="shared" si="13"/>
        <v>29</v>
      </c>
      <c r="M47" s="9">
        <f>(O47+O45)/2*M$3</f>
        <v>13.905676706629999</v>
      </c>
      <c r="N47" s="4" t="s">
        <v>60</v>
      </c>
      <c r="O47" s="1">
        <f>O45+1</f>
        <v>29</v>
      </c>
      <c r="P47" s="13">
        <f>1200*LN($S47/$R47)/LN(2)</f>
        <v>14.190522476147523</v>
      </c>
      <c r="Q47" s="14" t="s">
        <v>61</v>
      </c>
      <c r="R47" s="14">
        <f>3^5</f>
        <v>243</v>
      </c>
      <c r="S47" s="14">
        <f>5*7^2</f>
        <v>245</v>
      </c>
      <c r="T47" s="57">
        <f>$T49-T6</f>
        <v>14.307697661389554</v>
      </c>
      <c r="U47" s="57">
        <f>$T49-U6</f>
        <v>14.334657956591988</v>
      </c>
      <c r="V47" s="18" t="str">
        <f t="shared" si="8"/>
        <v/>
      </c>
      <c r="W47" s="18" t="str">
        <f t="shared" si="14"/>
        <v/>
      </c>
      <c r="X47" s="58" t="str">
        <f t="shared" si="10"/>
        <v/>
      </c>
    </row>
    <row r="48" spans="1:24" ht="13.5">
      <c r="A48" s="6"/>
      <c r="B48" s="6"/>
      <c r="C48" s="14"/>
      <c r="D48" s="6"/>
      <c r="E48" s="6"/>
      <c r="F48" s="6"/>
      <c r="G48" s="1"/>
      <c r="H48" s="1"/>
      <c r="I48" s="1"/>
      <c r="J48" s="72">
        <f t="shared" si="12"/>
        <v>14.393595187564385</v>
      </c>
      <c r="K48" s="4" t="s">
        <v>62</v>
      </c>
      <c r="L48" s="1">
        <f t="shared" si="13"/>
        <v>30</v>
      </c>
      <c r="M48" s="9">
        <f>(O48+O47)/2*M$3</f>
        <v>14.393595187564385</v>
      </c>
      <c r="N48" s="42" t="s">
        <v>1951</v>
      </c>
      <c r="O48" s="1">
        <f>O47+1</f>
        <v>30</v>
      </c>
      <c r="P48" s="13">
        <f t="shared" si="11"/>
        <v>14.613238642102443</v>
      </c>
      <c r="Q48" s="14" t="s">
        <v>264</v>
      </c>
      <c r="R48" s="14">
        <f>3^7*13</f>
        <v>28431</v>
      </c>
      <c r="S48" s="14">
        <f>2^12*7</f>
        <v>28672</v>
      </c>
      <c r="T48" s="69">
        <f>$T55-$T10</f>
        <v>14.590621288156644</v>
      </c>
      <c r="V48" s="18" t="str">
        <f t="shared" si="8"/>
        <v/>
      </c>
      <c r="W48" s="18" t="str">
        <f t="shared" si="14"/>
        <v/>
      </c>
      <c r="X48" s="58" t="str">
        <f t="shared" si="10"/>
        <v/>
      </c>
    </row>
    <row r="49" spans="1:24" ht="13.5">
      <c r="A49" s="6"/>
      <c r="B49" s="6"/>
      <c r="C49" s="14"/>
      <c r="D49" s="6"/>
      <c r="E49" s="6"/>
      <c r="F49" s="6"/>
      <c r="G49" s="1"/>
      <c r="H49" s="1"/>
      <c r="I49" s="1"/>
      <c r="J49" s="72"/>
      <c r="K49" s="4"/>
      <c r="L49" s="1"/>
      <c r="M49" s="9">
        <f>(P48+P49)/2</f>
        <v>14.671826234723412</v>
      </c>
      <c r="N49" s="4" t="s">
        <v>62</v>
      </c>
      <c r="O49" s="68">
        <f>O48+(M49-M48)/$M$3</f>
        <v>30.570240845614624</v>
      </c>
      <c r="P49" s="11">
        <f>1200*LN($S49/$R49)/LN(2)</f>
        <v>14.730413827344378</v>
      </c>
      <c r="Q49" s="12" t="s">
        <v>63</v>
      </c>
      <c r="R49" s="12">
        <f>2^12</f>
        <v>4096</v>
      </c>
      <c r="S49" s="12">
        <f>3^5*17</f>
        <v>4131</v>
      </c>
      <c r="T49" s="57">
        <f>P49</f>
        <v>14.730413827344378</v>
      </c>
      <c r="V49" s="18" t="str">
        <f t="shared" si="8"/>
        <v/>
      </c>
      <c r="W49" s="18" t="str">
        <f t="shared" si="14"/>
        <v/>
      </c>
      <c r="X49" s="58" t="str">
        <f t="shared" si="10"/>
        <v/>
      </c>
    </row>
    <row r="50" spans="1:24" ht="13.5">
      <c r="A50" s="6"/>
      <c r="B50" s="6"/>
      <c r="C50" s="14"/>
      <c r="D50" s="6"/>
      <c r="E50" s="6"/>
      <c r="F50" s="6"/>
      <c r="G50" s="1"/>
      <c r="H50" s="1"/>
      <c r="I50" s="1"/>
      <c r="J50" s="72">
        <f t="shared" si="12"/>
        <v>14.881513668498771</v>
      </c>
      <c r="K50" s="4" t="s">
        <v>64</v>
      </c>
      <c r="L50" s="1">
        <f t="shared" si="13"/>
        <v>31</v>
      </c>
      <c r="M50" s="9">
        <f>(O50+O48)/2*M$3</f>
        <v>14.881513668498771</v>
      </c>
      <c r="N50" s="4" t="s">
        <v>64</v>
      </c>
      <c r="O50" s="1">
        <f>O48+1</f>
        <v>31</v>
      </c>
      <c r="P50" s="13">
        <f>1200*LN($S50/$R50)/LN(2)</f>
        <v>15.199694203392605</v>
      </c>
      <c r="Q50" s="23" t="s">
        <v>65</v>
      </c>
      <c r="R50" s="6">
        <f>3^4*7</f>
        <v>567</v>
      </c>
      <c r="S50" s="6">
        <f>2^2*11*13</f>
        <v>572</v>
      </c>
      <c r="T50" s="57">
        <f>$T49+T6</f>
        <v>15.153129993299203</v>
      </c>
      <c r="U50" s="57">
        <f>$T49+U6</f>
        <v>15.126169698096769</v>
      </c>
      <c r="V50" s="18" t="str">
        <f>IF(T50&lt;$M50,"low",IF(T50&gt;$M51,"high",""))</f>
        <v/>
      </c>
      <c r="W50" s="18" t="str">
        <f>IF(U50=0,"",IF(U50&lt;$M50,"low",IF(U50&gt;$M51,"high","")))</f>
        <v/>
      </c>
      <c r="X50" s="58" t="str">
        <f>IF(ABS(T50-T49)&lt;10^-10,"same","")</f>
        <v/>
      </c>
    </row>
    <row r="51" spans="1:24" ht="13.5">
      <c r="A51" s="6"/>
      <c r="B51" s="6"/>
      <c r="C51" s="14"/>
      <c r="D51" s="6">
        <f>$M51</f>
        <v>15.369432149433157</v>
      </c>
      <c r="E51" s="4" t="s">
        <v>70</v>
      </c>
      <c r="F51" s="6">
        <v>7</v>
      </c>
      <c r="G51" s="6">
        <f>$M51</f>
        <v>15.369432149433157</v>
      </c>
      <c r="H51" s="4" t="s">
        <v>70</v>
      </c>
      <c r="I51" s="1">
        <v>8</v>
      </c>
      <c r="J51" s="72">
        <f t="shared" si="12"/>
        <v>15.369432149433157</v>
      </c>
      <c r="K51" s="4" t="s">
        <v>66</v>
      </c>
      <c r="L51" s="1">
        <f t="shared" si="13"/>
        <v>32</v>
      </c>
      <c r="M51" s="9">
        <f>(O51+O50)/2*M$3</f>
        <v>15.369432149433157</v>
      </c>
      <c r="N51" s="4" t="s">
        <v>1952</v>
      </c>
      <c r="O51" s="1">
        <f>O50+1</f>
        <v>32</v>
      </c>
      <c r="P51" s="13">
        <f>1200*LN($S51/$R51)/LN(2)</f>
        <v>15.445762846204065</v>
      </c>
      <c r="Q51" s="6" t="s">
        <v>1797</v>
      </c>
      <c r="R51" s="97">
        <f>3^10*11</f>
        <v>649539</v>
      </c>
      <c r="S51" s="14">
        <f>2^17*5</f>
        <v>655360</v>
      </c>
      <c r="T51" s="57">
        <f>$T49+T8</f>
        <v>15.562938031445977</v>
      </c>
      <c r="U51" s="57">
        <f>$T49+U8</f>
        <v>15.54888586405152</v>
      </c>
      <c r="V51" s="18" t="str">
        <f>IF(T51&lt;$M51,"low",IF(T51&gt;$M52,"high",""))</f>
        <v/>
      </c>
      <c r="W51" s="18" t="str">
        <f>IF(U51=0,"",IF(U51&lt;$M51,"low",IF(U51&gt;$M52,"high","")))</f>
        <v/>
      </c>
      <c r="X51" s="58" t="str">
        <f>IF(ABS(T51-T50)&lt;10^-10,"same","")</f>
        <v/>
      </c>
    </row>
    <row r="52" spans="1:24" ht="13.5">
      <c r="A52" s="6"/>
      <c r="B52" s="6"/>
      <c r="C52" s="14"/>
      <c r="D52" s="6"/>
      <c r="E52" s="4"/>
      <c r="F52" s="6"/>
      <c r="G52" s="6"/>
      <c r="H52" s="4"/>
      <c r="I52" s="1"/>
      <c r="J52" s="72"/>
      <c r="K52" s="4"/>
      <c r="L52" s="1"/>
      <c r="M52" s="9">
        <f>(P51+P52)/2</f>
        <v>15.597125119766829</v>
      </c>
      <c r="N52" s="4" t="s">
        <v>66</v>
      </c>
      <c r="O52" s="68">
        <f>O51+(M52-M51)/$M$3</f>
        <v>32.46666191019785</v>
      </c>
      <c r="P52" s="13">
        <f>1200*LN($S52/$R52)/LN(2)</f>
        <v>15.748487393329595</v>
      </c>
      <c r="Q52" s="14" t="s">
        <v>67</v>
      </c>
      <c r="R52" s="22">
        <f>2^14*5^2</f>
        <v>409600</v>
      </c>
      <c r="S52" s="14">
        <f>3^10*7</f>
        <v>413343</v>
      </c>
      <c r="T52" s="57">
        <f>$T55-T8</f>
        <v>15.711817871989204</v>
      </c>
      <c r="U52" s="57">
        <f>$T55-U8</f>
        <v>15.725870039383661</v>
      </c>
      <c r="V52" s="18" t="str">
        <f t="shared" ref="V52:V90" si="15">IF(T52&lt;$M52,"low",IF(T52&gt;$M53,"high",""))</f>
        <v/>
      </c>
      <c r="W52" s="18" t="str">
        <f t="shared" ref="W52:W90" si="16">IF(U52=0,"",IF(U52&lt;$M52,"low",IF(U52&gt;$M53,"high","")))</f>
        <v/>
      </c>
      <c r="X52" s="58" t="str">
        <f t="shared" ref="X52:X90" si="17">IF(ABS(T52-T51)&lt;10^-10,"same","")</f>
        <v/>
      </c>
    </row>
    <row r="53" spans="1:24" ht="13.5">
      <c r="A53" s="6"/>
      <c r="B53" s="6"/>
      <c r="C53" s="14"/>
      <c r="D53" s="6"/>
      <c r="E53" s="6"/>
      <c r="F53" s="6"/>
      <c r="G53" s="1"/>
      <c r="H53" s="1"/>
      <c r="I53" s="1"/>
      <c r="J53" s="72">
        <f t="shared" si="12"/>
        <v>15.857350630367543</v>
      </c>
      <c r="K53" s="4" t="s">
        <v>68</v>
      </c>
      <c r="L53" s="1">
        <f t="shared" si="13"/>
        <v>33</v>
      </c>
      <c r="M53" s="9">
        <f>(O53+O51)/2*M$3</f>
        <v>15.857350630367543</v>
      </c>
      <c r="N53" s="4" t="s">
        <v>68</v>
      </c>
      <c r="O53" s="1">
        <f>O51+1</f>
        <v>33</v>
      </c>
      <c r="P53" s="13">
        <f t="shared" si="11"/>
        <v>16.144243264081744</v>
      </c>
      <c r="Q53" s="14" t="s">
        <v>69</v>
      </c>
      <c r="R53" s="14">
        <f>2^15</f>
        <v>32768</v>
      </c>
      <c r="S53" s="22">
        <f>3^3*5^2*7^2</f>
        <v>33075</v>
      </c>
      <c r="T53" s="57">
        <f>$T55-T6</f>
        <v>16.121625910135979</v>
      </c>
      <c r="U53" s="57">
        <f>$T55-U6</f>
        <v>16.148586205338415</v>
      </c>
      <c r="V53" s="18" t="str">
        <f t="shared" si="15"/>
        <v/>
      </c>
      <c r="W53" s="18" t="str">
        <f t="shared" si="16"/>
        <v/>
      </c>
      <c r="X53" s="58" t="str">
        <f t="shared" si="17"/>
        <v/>
      </c>
    </row>
    <row r="54" spans="1:24" ht="13.5">
      <c r="A54" s="6"/>
      <c r="B54" s="6"/>
      <c r="C54" s="14"/>
      <c r="D54" s="6"/>
      <c r="E54" s="6"/>
      <c r="F54" s="6"/>
      <c r="G54" s="1"/>
      <c r="H54" s="1"/>
      <c r="I54" s="1"/>
      <c r="J54" s="72"/>
      <c r="K54" s="4"/>
      <c r="L54" s="1"/>
      <c r="M54" s="9">
        <f>(P53+P54)/2</f>
        <v>16.232567025653545</v>
      </c>
      <c r="N54" s="70" t="s">
        <v>1954</v>
      </c>
      <c r="O54" s="68">
        <f>O53+(M54-M53)/$M$3</f>
        <v>33.769014517686323</v>
      </c>
      <c r="P54" s="13">
        <f t="shared" si="11"/>
        <v>16.320890787225341</v>
      </c>
      <c r="Q54" s="21" t="s">
        <v>280</v>
      </c>
      <c r="R54" s="21">
        <f>2^18</f>
        <v>262144</v>
      </c>
      <c r="S54" s="21">
        <f>3^7*11^2</f>
        <v>264627</v>
      </c>
      <c r="T54" s="57">
        <f>$T49+$T10-T6</f>
        <v>16.261418449323713</v>
      </c>
      <c r="U54" s="57">
        <f>$T49+$T10-U6</f>
        <v>16.288378744526149</v>
      </c>
      <c r="V54" s="18" t="str">
        <f t="shared" si="15"/>
        <v/>
      </c>
      <c r="W54" s="18" t="str">
        <f t="shared" si="16"/>
        <v/>
      </c>
      <c r="X54" s="58" t="str">
        <f t="shared" si="17"/>
        <v/>
      </c>
    </row>
    <row r="55" spans="1:24" ht="13.5">
      <c r="A55" s="6"/>
      <c r="B55" s="6"/>
      <c r="C55" s="14"/>
      <c r="D55" s="6"/>
      <c r="E55" s="6"/>
      <c r="F55" s="6"/>
      <c r="G55" s="1"/>
      <c r="H55" s="1"/>
      <c r="I55" s="1"/>
      <c r="J55" s="72">
        <f t="shared" si="12"/>
        <v>16.345269111301928</v>
      </c>
      <c r="K55" s="4" t="s">
        <v>70</v>
      </c>
      <c r="L55" s="1">
        <f t="shared" si="13"/>
        <v>34</v>
      </c>
      <c r="M55" s="9">
        <f>(O55+O53)/2*M$3</f>
        <v>16.345269111301928</v>
      </c>
      <c r="N55" s="4" t="s">
        <v>70</v>
      </c>
      <c r="O55" s="1">
        <f>O53+1</f>
        <v>34</v>
      </c>
      <c r="P55" s="11">
        <f t="shared" si="11"/>
        <v>16.544342076090803</v>
      </c>
      <c r="Q55" s="12" t="s">
        <v>71</v>
      </c>
      <c r="R55" s="12">
        <f>3^6</f>
        <v>729</v>
      </c>
      <c r="S55" s="12">
        <f>2^5*23</f>
        <v>736</v>
      </c>
      <c r="T55" s="57">
        <f>P55</f>
        <v>16.544342076090803</v>
      </c>
      <c r="V55" s="18" t="str">
        <f t="shared" si="15"/>
        <v/>
      </c>
      <c r="W55" s="18" t="str">
        <f t="shared" si="16"/>
        <v/>
      </c>
      <c r="X55" s="58" t="str">
        <f t="shared" si="17"/>
        <v/>
      </c>
    </row>
    <row r="56" spans="1:24" ht="13.5">
      <c r="A56" s="6"/>
      <c r="B56" s="6"/>
      <c r="C56" s="14"/>
      <c r="D56" s="6"/>
      <c r="E56" s="6"/>
      <c r="F56" s="6"/>
      <c r="G56" s="1"/>
      <c r="H56" s="1"/>
      <c r="I56" s="1"/>
      <c r="J56" s="72"/>
      <c r="K56" s="4"/>
      <c r="L56" s="1"/>
      <c r="M56" s="9">
        <f>(P55+P56)/2</f>
        <v>16.555650753063659</v>
      </c>
      <c r="N56" s="70" t="s">
        <v>1955</v>
      </c>
      <c r="O56" s="68">
        <f>O55+(M56-M55)/$M$3</f>
        <v>34.431181949408519</v>
      </c>
      <c r="P56" s="13">
        <f t="shared" si="11"/>
        <v>16.566959430036512</v>
      </c>
      <c r="Q56" s="14" t="s">
        <v>272</v>
      </c>
      <c r="R56" s="14">
        <f>2^3*13</f>
        <v>104</v>
      </c>
      <c r="S56" s="14">
        <f>3*5*7</f>
        <v>105</v>
      </c>
      <c r="T56" s="57">
        <f>$T49+$T10</f>
        <v>16.684134615278538</v>
      </c>
      <c r="V56" s="18" t="str">
        <f t="shared" si="15"/>
        <v/>
      </c>
      <c r="W56" s="18" t="str">
        <f t="shared" si="16"/>
        <v/>
      </c>
      <c r="X56" s="58" t="str">
        <f t="shared" si="17"/>
        <v/>
      </c>
    </row>
    <row r="57" spans="1:24" ht="13.5">
      <c r="A57" s="6"/>
      <c r="B57" s="6"/>
      <c r="C57" s="14"/>
      <c r="D57" s="6"/>
      <c r="E57" s="6"/>
      <c r="F57" s="6"/>
      <c r="G57" s="1"/>
      <c r="H57" s="1"/>
      <c r="I57" s="1"/>
      <c r="J57" s="72">
        <f t="shared" si="12"/>
        <v>16.833187592236314</v>
      </c>
      <c r="K57" s="4" t="s">
        <v>72</v>
      </c>
      <c r="L57" s="1">
        <f t="shared" si="13"/>
        <v>35</v>
      </c>
      <c r="M57" s="9">
        <f>(O57+O55)/2*M$3</f>
        <v>16.833187592236314</v>
      </c>
      <c r="N57" s="4" t="s">
        <v>72</v>
      </c>
      <c r="O57" s="1">
        <f>O55+1</f>
        <v>35</v>
      </c>
      <c r="P57" s="13">
        <f t="shared" si="11"/>
        <v>16.989675595991482</v>
      </c>
      <c r="Q57" s="6" t="s">
        <v>73</v>
      </c>
      <c r="R57" s="14">
        <f>3*13^2</f>
        <v>507</v>
      </c>
      <c r="S57" s="14">
        <f>2^9</f>
        <v>512</v>
      </c>
      <c r="T57" s="57">
        <f>$T55+T6</f>
        <v>16.967058242045628</v>
      </c>
      <c r="U57" s="57">
        <f>$T55+U6</f>
        <v>16.940097946843192</v>
      </c>
      <c r="V57" s="18" t="str">
        <f>IF(T57&lt;$M57,"low",IF(T57&gt;$M58,"high",""))</f>
        <v/>
      </c>
      <c r="W57" s="18" t="str">
        <f>IF(U57=0,"",IF(U57&lt;$M57,"low",IF(U57&gt;$M58,"high","")))</f>
        <v/>
      </c>
      <c r="X57" s="58" t="str">
        <f>IF(ABS(T57-T56)&lt;10^-10,"same","")</f>
        <v/>
      </c>
    </row>
    <row r="58" spans="1:24" ht="13.5">
      <c r="A58" s="6"/>
      <c r="B58" s="6"/>
      <c r="C58" s="14"/>
      <c r="D58" s="6">
        <f>$M58</f>
        <v>17.3211060731707</v>
      </c>
      <c r="E58" s="4" t="str">
        <f>IF($E$2="N","|~","~~|")</f>
        <v>~~|</v>
      </c>
      <c r="F58" s="31">
        <f>IF($E$2="N",7,7.5)</f>
        <v>7.5</v>
      </c>
      <c r="G58" s="6">
        <f>$M58</f>
        <v>17.3211060731707</v>
      </c>
      <c r="H58" s="4" t="s">
        <v>74</v>
      </c>
      <c r="I58" s="1">
        <v>9</v>
      </c>
      <c r="J58" s="72">
        <f t="shared" si="12"/>
        <v>17.3211060731707</v>
      </c>
      <c r="K58" s="4" t="s">
        <v>74</v>
      </c>
      <c r="L58" s="1">
        <f t="shared" si="13"/>
        <v>36</v>
      </c>
      <c r="M58" s="9">
        <f>(O58+O57)/2*M$3</f>
        <v>17.3211060731707</v>
      </c>
      <c r="N58" s="4" t="s">
        <v>1793</v>
      </c>
      <c r="O58" s="1">
        <f>O57+1</f>
        <v>36</v>
      </c>
      <c r="P58" s="11">
        <f t="shared" si="11"/>
        <v>17.399483634138207</v>
      </c>
      <c r="Q58" s="12" t="s">
        <v>267</v>
      </c>
      <c r="R58" s="12">
        <f>3^2*11</f>
        <v>99</v>
      </c>
      <c r="S58" s="12">
        <f>2^2*5^2</f>
        <v>100</v>
      </c>
      <c r="T58" s="99">
        <f>$T55+T8</f>
        <v>17.376866280192402</v>
      </c>
      <c r="U58" s="99">
        <f>$T55+U8</f>
        <v>17.362814112797945</v>
      </c>
      <c r="V58" s="18" t="str">
        <f>IF(T58&lt;$M58,"low",IF(T58&gt;$M59,"high",""))</f>
        <v/>
      </c>
      <c r="W58" s="18" t="str">
        <f>IF(U58=0,"",IF(U58&lt;$M58,"low",IF(U58&gt;$M59,"high","")))</f>
        <v/>
      </c>
      <c r="X58" s="58" t="str">
        <f>IF(ABS(T58-T57)&lt;10^-10,"same","")</f>
        <v/>
      </c>
    </row>
    <row r="59" spans="1:24" ht="13.5">
      <c r="A59" s="6"/>
      <c r="B59" s="6"/>
      <c r="C59" s="14"/>
      <c r="D59" s="6"/>
      <c r="E59" s="4"/>
      <c r="F59" s="6"/>
      <c r="G59" s="6"/>
      <c r="H59" s="4"/>
      <c r="I59" s="1"/>
      <c r="J59" s="72"/>
      <c r="K59" s="4"/>
      <c r="L59" s="68"/>
      <c r="M59" s="9">
        <f>(P58+P59)/2</f>
        <v>17.487807395709858</v>
      </c>
      <c r="N59" s="4" t="s">
        <v>74</v>
      </c>
      <c r="O59" s="68">
        <f>O58+(M59-M58)/$M$3</f>
        <v>36.341658143835659</v>
      </c>
      <c r="P59" s="11">
        <f t="shared" si="11"/>
        <v>17.576131157281512</v>
      </c>
      <c r="Q59" s="12" t="s">
        <v>75</v>
      </c>
      <c r="R59" s="12">
        <f>2*7^2</f>
        <v>98</v>
      </c>
      <c r="S59" s="12">
        <f>3^2*11</f>
        <v>99</v>
      </c>
      <c r="T59" s="57">
        <f>P59</f>
        <v>17.576131157281512</v>
      </c>
      <c r="V59" s="18" t="str">
        <f>IF(T59&lt;$M59,"low",IF(T59&gt;$M60,"high",""))</f>
        <v/>
      </c>
      <c r="W59" s="18" t="str">
        <f>IF(U59=0,"",IF(U59&lt;$M59,"low",IF(U59&gt;$M60,"high","")))</f>
        <v/>
      </c>
      <c r="X59" s="58" t="str">
        <f>IF(ABS(T59-T58)&lt;10^-10,"same","")</f>
        <v/>
      </c>
    </row>
    <row r="60" spans="1:24" ht="13.5">
      <c r="A60" s="6"/>
      <c r="B60" s="6"/>
      <c r="C60" s="14"/>
      <c r="D60" s="6">
        <f>$M60</f>
        <v>17.809024554105086</v>
      </c>
      <c r="E60" s="4" t="str">
        <f>IF($E$2="N",")|~","~~|")</f>
        <v>~~|</v>
      </c>
      <c r="F60" s="31">
        <f>IF($E$2="N",8,7.5)</f>
        <v>7.5</v>
      </c>
      <c r="G60" s="1"/>
      <c r="H60" s="1"/>
      <c r="I60" s="1"/>
      <c r="J60" s="72">
        <f t="shared" si="12"/>
        <v>17.809024554105086</v>
      </c>
      <c r="K60" s="42" t="s">
        <v>76</v>
      </c>
      <c r="L60" s="1">
        <f t="shared" si="13"/>
        <v>37</v>
      </c>
      <c r="M60" s="9">
        <f>(O60+O58)/2*M$3</f>
        <v>17.809024554105086</v>
      </c>
      <c r="N60" s="42" t="s">
        <v>76</v>
      </c>
      <c r="O60" s="1">
        <f>O58+1</f>
        <v>37</v>
      </c>
      <c r="P60" s="13">
        <f>1200*LN($S60/$R60)/LN(2)</f>
        <v>18.012375092831025</v>
      </c>
      <c r="Q60" s="21" t="s">
        <v>274</v>
      </c>
      <c r="R60" s="21">
        <f>2^8*31</f>
        <v>7936</v>
      </c>
      <c r="S60" s="21">
        <f>3^6*11</f>
        <v>8019</v>
      </c>
      <c r="T60" s="99">
        <f>$T59+T6</f>
        <v>17.998847323236337</v>
      </c>
      <c r="U60" s="57">
        <f>$T59+U6</f>
        <v>17.971887028033901</v>
      </c>
      <c r="V60" s="18" t="str">
        <f t="shared" si="15"/>
        <v/>
      </c>
      <c r="W60" s="18" t="str">
        <f t="shared" si="16"/>
        <v/>
      </c>
      <c r="X60" s="58" t="str">
        <f t="shared" si="17"/>
        <v/>
      </c>
    </row>
    <row r="61" spans="1:24" ht="13.5">
      <c r="A61" s="6"/>
      <c r="B61" s="6"/>
      <c r="C61" s="14"/>
      <c r="D61" s="6"/>
      <c r="E61" s="6"/>
      <c r="F61" s="6"/>
      <c r="G61" s="1"/>
      <c r="H61" s="1"/>
      <c r="I61" s="1"/>
      <c r="J61" s="72"/>
      <c r="K61" s="4"/>
      <c r="L61" s="1"/>
      <c r="M61" s="9">
        <f>(P60+P61)/2</f>
        <v>18.070322980540546</v>
      </c>
      <c r="N61" s="4" t="s">
        <v>1956</v>
      </c>
      <c r="O61" s="68">
        <f>O60+(M61-M60)/$M$3</f>
        <v>37.535537055155324</v>
      </c>
      <c r="P61" s="13">
        <f>1200*LN($S61/$R61)/LN(2)</f>
        <v>18.128270868250066</v>
      </c>
      <c r="Q61" s="6" t="s">
        <v>77</v>
      </c>
      <c r="R61" s="6">
        <f>5*19</f>
        <v>95</v>
      </c>
      <c r="S61" s="6">
        <f>2^5*3</f>
        <v>96</v>
      </c>
      <c r="T61" s="57">
        <f>$T68-$T10</f>
        <v>18.128270868250148</v>
      </c>
      <c r="V61" s="18" t="str">
        <f t="shared" si="15"/>
        <v/>
      </c>
      <c r="W61" s="18" t="str">
        <f t="shared" si="16"/>
        <v/>
      </c>
      <c r="X61" s="58" t="str">
        <f t="shared" si="17"/>
        <v/>
      </c>
    </row>
    <row r="62" spans="1:24" ht="13.5">
      <c r="A62" s="6"/>
      <c r="B62" s="6"/>
      <c r="C62" s="14"/>
      <c r="D62" s="6"/>
      <c r="E62" s="6"/>
      <c r="F62" s="6"/>
      <c r="G62" s="1"/>
      <c r="H62" s="1"/>
      <c r="I62" s="1"/>
      <c r="J62" s="72">
        <f t="shared" si="12"/>
        <v>18.296943035039472</v>
      </c>
      <c r="K62" s="4" t="s">
        <v>78</v>
      </c>
      <c r="L62" s="1">
        <f t="shared" si="13"/>
        <v>38</v>
      </c>
      <c r="M62" s="9">
        <f>(O62+O60)/2*M$3</f>
        <v>18.296943035039472</v>
      </c>
      <c r="N62" s="4" t="s">
        <v>78</v>
      </c>
      <c r="O62" s="1">
        <f>O60+1</f>
        <v>38</v>
      </c>
      <c r="P62" s="13">
        <f t="shared" si="11"/>
        <v>18.534495242795682</v>
      </c>
      <c r="Q62" s="21" t="s">
        <v>80</v>
      </c>
      <c r="R62" s="21">
        <f>3^9*7</f>
        <v>137781</v>
      </c>
      <c r="S62" s="21">
        <f>2^13*17</f>
        <v>139264</v>
      </c>
      <c r="T62" s="57">
        <f>$T59+T8</f>
        <v>18.408655361383111</v>
      </c>
      <c r="U62" s="57">
        <f>$T59+U8</f>
        <v>18.394603193988655</v>
      </c>
      <c r="V62" s="18" t="str">
        <f>IF(T62&lt;$M62,"low",IF(T62&gt;$M63,"high",""))</f>
        <v/>
      </c>
      <c r="W62" s="18" t="str">
        <f>IF(U62=0,"",IF(U62&lt;$M62,"low",IF(U62&gt;$M63,"high","")))</f>
        <v/>
      </c>
      <c r="X62" s="58" t="str">
        <f>IF(ABS(T62-T61)&lt;10^-10,"same","")</f>
        <v/>
      </c>
    </row>
    <row r="63" spans="1:24" ht="13.5">
      <c r="A63" s="6">
        <f>$M63</f>
        <v>18.784861515973859</v>
      </c>
      <c r="B63" s="4" t="s">
        <v>91</v>
      </c>
      <c r="C63" s="14">
        <v>4</v>
      </c>
      <c r="D63" s="6">
        <f>$M63</f>
        <v>18.784861515973859</v>
      </c>
      <c r="E63" s="4" t="s">
        <v>85</v>
      </c>
      <c r="F63" s="6">
        <v>8</v>
      </c>
      <c r="G63" s="6">
        <f>$M63</f>
        <v>18.784861515973859</v>
      </c>
      <c r="H63" s="4" t="s">
        <v>83</v>
      </c>
      <c r="I63" s="1">
        <v>10</v>
      </c>
      <c r="J63" s="72">
        <f t="shared" si="12"/>
        <v>18.784861515973859</v>
      </c>
      <c r="K63" s="4" t="s">
        <v>81</v>
      </c>
      <c r="L63" s="1">
        <f t="shared" si="13"/>
        <v>39</v>
      </c>
      <c r="M63" s="9">
        <f>(O63+O62)/2*M$3</f>
        <v>18.784861515973859</v>
      </c>
      <c r="N63" s="10" t="s">
        <v>1958</v>
      </c>
      <c r="O63" s="1">
        <f>O62+1</f>
        <v>39</v>
      </c>
      <c r="P63" s="13">
        <f t="shared" si="11"/>
        <v>18.831371527337947</v>
      </c>
      <c r="Q63" s="23" t="s">
        <v>82</v>
      </c>
      <c r="R63" s="23">
        <f>3^3*7^4</f>
        <v>64827</v>
      </c>
      <c r="S63" s="23">
        <f>2^16</f>
        <v>65536</v>
      </c>
      <c r="T63" s="57">
        <f>$T55+$T10+T6</f>
        <v>18.920779029979787</v>
      </c>
      <c r="U63" s="57">
        <f>$T55+$T10+U6</f>
        <v>18.893818734777351</v>
      </c>
      <c r="V63" s="18" t="str">
        <f>IF(T63&lt;$M63,"low",IF(T63&gt;$M64,"high",""))</f>
        <v/>
      </c>
      <c r="W63" s="18" t="str">
        <f>IF(U63=0,"",IF(U63&lt;$M63,"low",IF(U63&gt;$M64,"high","")))</f>
        <v/>
      </c>
      <c r="X63" s="58" t="str">
        <f>IF(ABS(T63-T62)&lt;10^-10,"same","")</f>
        <v/>
      </c>
    </row>
    <row r="64" spans="1:24" ht="13.5">
      <c r="A64" s="6"/>
      <c r="B64" s="4"/>
      <c r="C64" s="14"/>
      <c r="D64" s="6"/>
      <c r="E64" s="4"/>
      <c r="F64" s="6"/>
      <c r="G64" s="6"/>
      <c r="H64" s="4"/>
      <c r="I64" s="1"/>
      <c r="J64" s="72"/>
      <c r="K64" s="4"/>
      <c r="L64" s="1"/>
      <c r="M64" s="9">
        <f>(P63+P64)/2</f>
        <v>18.980612085081873</v>
      </c>
      <c r="N64" s="4" t="s">
        <v>81</v>
      </c>
      <c r="O64" s="68">
        <f>O63+(M64-M63)/$M$3</f>
        <v>39.40119523395208</v>
      </c>
      <c r="P64" s="13">
        <f t="shared" si="11"/>
        <v>19.129852642825803</v>
      </c>
      <c r="Q64" s="6" t="s">
        <v>328</v>
      </c>
      <c r="R64" s="6">
        <f>2*3^2*5</f>
        <v>90</v>
      </c>
      <c r="S64" s="6">
        <f>7*13</f>
        <v>91</v>
      </c>
      <c r="T64" s="57">
        <f>$T72-$T10-T6</f>
        <v>19.129852642825796</v>
      </c>
      <c r="U64" s="57">
        <f>$T72-$T10-U6</f>
        <v>19.156812938028231</v>
      </c>
      <c r="V64" s="18" t="str">
        <f t="shared" si="15"/>
        <v/>
      </c>
      <c r="W64" s="18" t="str">
        <f t="shared" si="16"/>
        <v/>
      </c>
      <c r="X64" s="58" t="str">
        <f t="shared" si="17"/>
        <v/>
      </c>
    </row>
    <row r="65" spans="1:24" ht="13.5">
      <c r="A65" s="6"/>
      <c r="B65" s="6"/>
      <c r="C65" s="14"/>
      <c r="D65" s="6"/>
      <c r="E65" s="6"/>
      <c r="F65" s="6"/>
      <c r="G65" s="1"/>
      <c r="H65" s="1"/>
      <c r="I65" s="1"/>
      <c r="J65" s="72">
        <f t="shared" si="12"/>
        <v>19.272779996908245</v>
      </c>
      <c r="K65" s="4" t="s">
        <v>83</v>
      </c>
      <c r="L65" s="1">
        <f t="shared" si="13"/>
        <v>40</v>
      </c>
      <c r="M65" s="9">
        <f>(O65+O63)/2*M$3</f>
        <v>19.272779996908245</v>
      </c>
      <c r="N65" s="70" t="s">
        <v>2072</v>
      </c>
      <c r="O65" s="1">
        <f>O63+1</f>
        <v>40</v>
      </c>
      <c r="P65" s="13">
        <f t="shared" si="11"/>
        <v>19.529851945215984</v>
      </c>
      <c r="Q65" s="6" t="s">
        <v>323</v>
      </c>
      <c r="R65" s="6">
        <f>2^16*7^2</f>
        <v>3211264</v>
      </c>
      <c r="S65" s="6">
        <f>3^10*5*11</f>
        <v>3247695</v>
      </c>
      <c r="T65" s="69">
        <f>$T59+T10</f>
        <v>19.529851945215672</v>
      </c>
      <c r="V65" s="18" t="str">
        <f t="shared" si="15"/>
        <v/>
      </c>
      <c r="W65" s="18" t="str">
        <f t="shared" si="16"/>
        <v/>
      </c>
      <c r="X65" s="58" t="str">
        <f t="shared" si="17"/>
        <v/>
      </c>
    </row>
    <row r="66" spans="1:24" ht="13.5">
      <c r="A66" s="6"/>
      <c r="B66" s="6"/>
      <c r="C66" s="14"/>
      <c r="D66" s="6"/>
      <c r="E66" s="6"/>
      <c r="F66" s="6"/>
      <c r="G66" s="1"/>
      <c r="H66" s="1"/>
      <c r="I66" s="1"/>
      <c r="J66" s="72"/>
      <c r="K66" s="4"/>
      <c r="L66" s="1"/>
      <c r="M66" s="9">
        <f>(P65+P66)/2</f>
        <v>19.541210376998357</v>
      </c>
      <c r="N66" s="4" t="s">
        <v>83</v>
      </c>
      <c r="O66" s="68">
        <f>O65+(M66-M65)/$M$3</f>
        <v>40.550154156030445</v>
      </c>
      <c r="P66" s="11">
        <f>1200*LN($S66/$R66)/LN(2)</f>
        <v>19.552568808780734</v>
      </c>
      <c r="Q66" s="12" t="s">
        <v>84</v>
      </c>
      <c r="R66" s="12">
        <f>3^4*5^2</f>
        <v>2025</v>
      </c>
      <c r="S66" s="12">
        <f>2^11</f>
        <v>2048</v>
      </c>
      <c r="T66" s="57">
        <f>$T72-$T10</f>
        <v>19.55256880878062</v>
      </c>
      <c r="V66" s="18" t="str">
        <f t="shared" si="15"/>
        <v/>
      </c>
      <c r="W66" s="18" t="str">
        <f t="shared" si="16"/>
        <v/>
      </c>
      <c r="X66" s="58" t="str">
        <f t="shared" si="17"/>
        <v/>
      </c>
    </row>
    <row r="67" spans="1:24" ht="13.5">
      <c r="A67" s="6"/>
      <c r="B67" s="6"/>
      <c r="C67" s="14"/>
      <c r="D67" s="6"/>
      <c r="E67" s="6"/>
      <c r="F67" s="6"/>
      <c r="G67" s="6">
        <f>$M67</f>
        <v>19.760698477842631</v>
      </c>
      <c r="H67" s="10" t="str">
        <f>IF($H$2="N","./|",IF($H$2="Y",")|~",")|~"))</f>
        <v>)|~</v>
      </c>
      <c r="I67" s="31">
        <f>IF($H$2="N",10,IF($H$2="Y",10.7,10.7))</f>
        <v>10.7</v>
      </c>
      <c r="J67" s="72">
        <f t="shared" si="12"/>
        <v>19.760698477842631</v>
      </c>
      <c r="K67" s="4" t="s">
        <v>85</v>
      </c>
      <c r="L67" s="1">
        <f t="shared" si="13"/>
        <v>41</v>
      </c>
      <c r="M67" s="9">
        <f>(O67+O65)/2*M$3</f>
        <v>19.760698477842631</v>
      </c>
      <c r="N67" s="4" t="s">
        <v>1959</v>
      </c>
      <c r="O67" s="1">
        <f>O65+1</f>
        <v>41</v>
      </c>
      <c r="P67" s="13">
        <f t="shared" si="11"/>
        <v>19.785747346282911</v>
      </c>
      <c r="Q67" s="6" t="s">
        <v>307</v>
      </c>
      <c r="R67" s="6">
        <f>3*29</f>
        <v>87</v>
      </c>
      <c r="S67" s="6">
        <f>2^3*11</f>
        <v>88</v>
      </c>
      <c r="T67" s="16">
        <f>$T72-$T10+T6</f>
        <v>19.975284974735445</v>
      </c>
      <c r="U67" s="16">
        <f>$T72-$T10+U6</f>
        <v>19.948324679533009</v>
      </c>
      <c r="V67" s="18" t="str">
        <f t="shared" si="15"/>
        <v>high</v>
      </c>
      <c r="W67" s="18" t="str">
        <f t="shared" si="16"/>
        <v>high</v>
      </c>
      <c r="X67" s="58" t="str">
        <f t="shared" si="17"/>
        <v/>
      </c>
    </row>
    <row r="68" spans="1:24" ht="13.5">
      <c r="A68" s="6"/>
      <c r="B68" s="6"/>
      <c r="C68" s="14"/>
      <c r="D68" s="6"/>
      <c r="E68" s="6"/>
      <c r="F68" s="6"/>
      <c r="G68" s="1"/>
      <c r="H68" s="1"/>
      <c r="I68" s="1"/>
      <c r="J68" s="72"/>
      <c r="K68" s="4"/>
      <c r="L68" s="1"/>
      <c r="M68" s="9">
        <f>(P67+P68)/2</f>
        <v>19.933869501233609</v>
      </c>
      <c r="N68" s="4" t="s">
        <v>85</v>
      </c>
      <c r="O68" s="68">
        <f>O67+(M68-M67)/$M$3</f>
        <v>41.354917942561528</v>
      </c>
      <c r="P68" s="11">
        <f>1200*LN($S68/$R68)/LN(2)</f>
        <v>20.081991656184307</v>
      </c>
      <c r="Q68" s="12" t="s">
        <v>86</v>
      </c>
      <c r="R68" s="12">
        <f>2^10*19</f>
        <v>19456</v>
      </c>
      <c r="S68" s="12">
        <f>3^9</f>
        <v>19683</v>
      </c>
      <c r="T68" s="57">
        <f>P68</f>
        <v>20.081991656184307</v>
      </c>
      <c r="V68" s="18" t="str">
        <f t="shared" si="15"/>
        <v/>
      </c>
      <c r="W68" s="18" t="str">
        <f t="shared" si="16"/>
        <v/>
      </c>
      <c r="X68" s="58" t="str">
        <f t="shared" si="17"/>
        <v/>
      </c>
    </row>
    <row r="69" spans="1:24" ht="13.5">
      <c r="A69" s="6"/>
      <c r="B69" s="6"/>
      <c r="C69" s="14"/>
      <c r="D69" s="6">
        <f>$M69</f>
        <v>20.248616958777017</v>
      </c>
      <c r="E69" s="4" t="s">
        <v>91</v>
      </c>
      <c r="F69" s="6">
        <v>9</v>
      </c>
      <c r="G69" s="6">
        <f>$M69</f>
        <v>20.248616958777017</v>
      </c>
      <c r="H69" s="4" t="s">
        <v>91</v>
      </c>
      <c r="I69" s="1">
        <v>11</v>
      </c>
      <c r="J69" s="72">
        <f t="shared" si="12"/>
        <v>20.248616958777017</v>
      </c>
      <c r="K69" s="4" t="s">
        <v>87</v>
      </c>
      <c r="L69" s="1">
        <f t="shared" si="13"/>
        <v>42</v>
      </c>
      <c r="M69" s="9">
        <f>(O69+O67)/2*M$3</f>
        <v>20.248616958777017</v>
      </c>
      <c r="N69" s="4" t="s">
        <v>87</v>
      </c>
      <c r="O69" s="1">
        <f>O67+1</f>
        <v>42</v>
      </c>
      <c r="P69" s="13">
        <f t="shared" si="11"/>
        <v>20.407710366827729</v>
      </c>
      <c r="Q69" s="23" t="s">
        <v>845</v>
      </c>
      <c r="R69" s="23">
        <f>11*23</f>
        <v>253</v>
      </c>
      <c r="S69" s="23">
        <f>2^8</f>
        <v>256</v>
      </c>
      <c r="T69" s="57">
        <f>$T72-T8</f>
        <v>20.673765392613181</v>
      </c>
      <c r="U69" s="57"/>
      <c r="V69" s="18" t="str">
        <f t="shared" ref="V69:V74" si="18">IF(T69&lt;$M69,"low",IF(T69&gt;$M70,"high",""))</f>
        <v/>
      </c>
      <c r="W69" s="18" t="str">
        <f t="shared" ref="W69:W74" si="19">IF(U69=0,"",IF(U69&lt;$M69,"low",IF(U69&gt;$M70,"high","")))</f>
        <v/>
      </c>
      <c r="X69" s="58" t="str">
        <f t="shared" ref="X69:X74" si="20">IF(ABS(T69-T68)&lt;10^-10,"same","")</f>
        <v/>
      </c>
    </row>
    <row r="70" spans="1:24" ht="13.5">
      <c r="A70" s="6"/>
      <c r="B70" s="6"/>
      <c r="C70" s="14"/>
      <c r="D70" s="6"/>
      <c r="E70" s="6"/>
      <c r="F70" s="6"/>
      <c r="G70" s="1"/>
      <c r="H70" s="1"/>
      <c r="I70" s="1"/>
      <c r="J70" s="72">
        <f t="shared" si="12"/>
        <v>20.736535439711403</v>
      </c>
      <c r="K70" s="4" t="s">
        <v>89</v>
      </c>
      <c r="L70" s="1">
        <f t="shared" si="13"/>
        <v>43</v>
      </c>
      <c r="M70" s="9">
        <f>(O70+O69)/2*M$3</f>
        <v>20.736535439711403</v>
      </c>
      <c r="N70" s="42" t="s">
        <v>1960</v>
      </c>
      <c r="O70" s="1">
        <f>O69+1</f>
        <v>43</v>
      </c>
      <c r="P70" s="13">
        <f t="shared" si="11"/>
        <v>20.785092315272131</v>
      </c>
      <c r="Q70" s="6" t="s">
        <v>377</v>
      </c>
      <c r="R70" s="6">
        <f>7^4</f>
        <v>2401</v>
      </c>
      <c r="S70" s="6">
        <f>2*3^5*5</f>
        <v>2430</v>
      </c>
      <c r="T70" s="69">
        <f>$T68+T8</f>
        <v>20.914515860285906</v>
      </c>
      <c r="U70" s="69">
        <f>$T68+U8</f>
        <v>20.900463692891449</v>
      </c>
      <c r="V70" s="18" t="str">
        <f t="shared" si="18"/>
        <v/>
      </c>
      <c r="W70" s="18" t="str">
        <f t="shared" si="19"/>
        <v/>
      </c>
      <c r="X70" s="58" t="str">
        <f t="shared" si="20"/>
        <v/>
      </c>
    </row>
    <row r="71" spans="1:24" ht="13.5">
      <c r="A71" s="6"/>
      <c r="B71" s="6"/>
      <c r="C71" s="14"/>
      <c r="D71" s="6"/>
      <c r="E71" s="6"/>
      <c r="F71" s="6"/>
      <c r="G71" s="1"/>
      <c r="H71" s="1"/>
      <c r="I71" s="1"/>
      <c r="J71" s="72"/>
      <c r="K71" s="4"/>
      <c r="L71" s="1"/>
      <c r="M71" s="9">
        <f>(P70+P71)/2</f>
        <v>20.934332873016078</v>
      </c>
      <c r="N71" s="4" t="s">
        <v>89</v>
      </c>
      <c r="O71" s="68">
        <f>O70+(M71-M70)/$M$3</f>
        <v>43.405390328576786</v>
      </c>
      <c r="P71" s="13">
        <f>1200*LN($S71/$R71)/LN(2)</f>
        <v>21.083573430760026</v>
      </c>
      <c r="Q71" s="6" t="s">
        <v>90</v>
      </c>
      <c r="R71" s="6">
        <f>2^16</f>
        <v>65536</v>
      </c>
      <c r="S71" s="6">
        <f>3^6*7*13</f>
        <v>66339</v>
      </c>
      <c r="T71" s="57">
        <f>$T72-T6</f>
        <v>21.083573430759955</v>
      </c>
      <c r="U71" s="57">
        <f>$T72-U6</f>
        <v>21.110533725962391</v>
      </c>
      <c r="V71" s="18" t="str">
        <f t="shared" si="18"/>
        <v/>
      </c>
      <c r="W71" s="18" t="str">
        <f t="shared" si="19"/>
        <v/>
      </c>
      <c r="X71" s="58" t="str">
        <f t="shared" si="20"/>
        <v/>
      </c>
    </row>
    <row r="72" spans="1:24" ht="13.5">
      <c r="A72" s="6"/>
      <c r="B72" s="6"/>
      <c r="C72" s="14"/>
      <c r="D72" s="6"/>
      <c r="E72" s="6"/>
      <c r="F72" s="6"/>
      <c r="G72" s="1"/>
      <c r="H72" s="1"/>
      <c r="I72" s="1"/>
      <c r="J72" s="72">
        <f t="shared" si="12"/>
        <v>21.224453920645789</v>
      </c>
      <c r="K72" s="4" t="s">
        <v>91</v>
      </c>
      <c r="L72" s="1">
        <f t="shared" si="13"/>
        <v>44</v>
      </c>
      <c r="M72" s="9">
        <f>(O72+O70)/2*M$3</f>
        <v>21.224453920645789</v>
      </c>
      <c r="N72" s="4" t="s">
        <v>91</v>
      </c>
      <c r="O72" s="1">
        <f>O70+1</f>
        <v>44</v>
      </c>
      <c r="P72" s="11">
        <f t="shared" si="11"/>
        <v>21.50628959671478</v>
      </c>
      <c r="Q72" s="12" t="s">
        <v>92</v>
      </c>
      <c r="R72" s="12">
        <f>2^4*5</f>
        <v>80</v>
      </c>
      <c r="S72" s="12">
        <f>3^4</f>
        <v>81</v>
      </c>
      <c r="T72" s="57">
        <f>P72</f>
        <v>21.50628959671478</v>
      </c>
      <c r="V72" s="18" t="str">
        <f t="shared" si="18"/>
        <v/>
      </c>
      <c r="W72" s="18" t="str">
        <f t="shared" si="19"/>
        <v/>
      </c>
      <c r="X72" s="58" t="str">
        <f t="shared" si="20"/>
        <v/>
      </c>
    </row>
    <row r="73" spans="1:24" ht="13.5">
      <c r="A73" s="6"/>
      <c r="B73" s="6"/>
      <c r="C73" s="14"/>
      <c r="D73" s="6"/>
      <c r="E73" s="6"/>
      <c r="F73" s="6"/>
      <c r="G73" s="1"/>
      <c r="H73" s="1"/>
      <c r="I73" s="1"/>
      <c r="J73" s="72">
        <f t="shared" si="12"/>
        <v>21.712372401580176</v>
      </c>
      <c r="K73" s="4" t="s">
        <v>93</v>
      </c>
      <c r="L73" s="1">
        <f t="shared" si="13"/>
        <v>45</v>
      </c>
      <c r="M73" s="9">
        <f>(O73+O72)/2*M$3</f>
        <v>21.712372401580176</v>
      </c>
      <c r="N73" s="4" t="s">
        <v>93</v>
      </c>
      <c r="O73" s="1">
        <f>O72+1</f>
        <v>45</v>
      </c>
      <c r="P73" s="13">
        <f t="shared" ref="P73:P84" si="21">1200*LN($S73/$R73)/LN(2)</f>
        <v>21.902045467466987</v>
      </c>
      <c r="Q73" s="6" t="s">
        <v>293</v>
      </c>
      <c r="R73" s="6">
        <f>2^5*3^3</f>
        <v>864</v>
      </c>
      <c r="S73" s="6">
        <f>5^3*7</f>
        <v>875</v>
      </c>
      <c r="T73" s="68">
        <f>$T72+T6</f>
        <v>21.929005762669604</v>
      </c>
      <c r="U73" s="57">
        <f>$T72+U6</f>
        <v>21.902045467467168</v>
      </c>
      <c r="V73" s="18" t="str">
        <f t="shared" si="18"/>
        <v/>
      </c>
      <c r="W73" s="18" t="str">
        <f t="shared" si="19"/>
        <v/>
      </c>
      <c r="X73" s="58" t="str">
        <f t="shared" si="20"/>
        <v/>
      </c>
    </row>
    <row r="74" spans="1:24" ht="13.5">
      <c r="A74" s="6"/>
      <c r="B74" s="6"/>
      <c r="C74" s="14"/>
      <c r="D74" s="6"/>
      <c r="E74" s="6"/>
      <c r="F74" s="6"/>
      <c r="G74" s="1"/>
      <c r="H74" s="1"/>
      <c r="I74" s="1"/>
      <c r="J74" s="72">
        <f t="shared" si="12"/>
        <v>22.200290882514562</v>
      </c>
      <c r="K74" s="10" t="s">
        <v>94</v>
      </c>
      <c r="L74" s="1">
        <f t="shared" si="13"/>
        <v>46</v>
      </c>
      <c r="M74" s="9">
        <f>(O74+O73)/2*M$3</f>
        <v>22.200290882514562</v>
      </c>
      <c r="N74" s="10" t="s">
        <v>94</v>
      </c>
      <c r="O74" s="1">
        <f>O73+1</f>
        <v>46</v>
      </c>
      <c r="P74" s="13">
        <f t="shared" si="21"/>
        <v>22.324761633422071</v>
      </c>
      <c r="Q74" s="6" t="s">
        <v>95</v>
      </c>
      <c r="R74" s="6">
        <f>3^5*13</f>
        <v>3159</v>
      </c>
      <c r="S74" s="6">
        <f>2^7*5^2</f>
        <v>3200</v>
      </c>
      <c r="T74" s="68">
        <f>$T72+T8</f>
        <v>22.338813800816379</v>
      </c>
      <c r="U74" s="57">
        <f>$T72+U8</f>
        <v>22.324761633421922</v>
      </c>
      <c r="V74" s="18" t="str">
        <f t="shared" si="18"/>
        <v>high</v>
      </c>
      <c r="W74" s="18" t="str">
        <f t="shared" si="19"/>
        <v/>
      </c>
      <c r="X74" s="58" t="str">
        <f t="shared" si="20"/>
        <v/>
      </c>
    </row>
    <row r="75" spans="1:24" ht="13.5">
      <c r="A75" s="6"/>
      <c r="B75" s="6"/>
      <c r="C75" s="14"/>
      <c r="D75" s="6"/>
      <c r="E75" s="6"/>
      <c r="F75" s="6"/>
      <c r="G75" s="1"/>
      <c r="H75" s="1"/>
      <c r="I75" s="1"/>
      <c r="J75" s="72"/>
      <c r="K75" s="10"/>
      <c r="L75" s="1"/>
      <c r="M75" s="9">
        <f>(P74+P75)/2</f>
        <v>22.331787717119134</v>
      </c>
      <c r="N75" s="100" t="s">
        <v>1961</v>
      </c>
      <c r="O75" s="68">
        <f>O74+(M75-M74)/$M$3</f>
        <v>46.269505746846789</v>
      </c>
      <c r="P75" s="13">
        <f t="shared" si="21"/>
        <v>22.338813800816194</v>
      </c>
      <c r="Q75" s="6" t="s">
        <v>325</v>
      </c>
      <c r="R75" s="6">
        <f>7*11</f>
        <v>77</v>
      </c>
      <c r="S75" s="6">
        <f>2*3*13</f>
        <v>78</v>
      </c>
      <c r="T75" s="57">
        <f>$T68+$T10+T6</f>
        <v>22.458428610073291</v>
      </c>
      <c r="U75" s="57">
        <f>$T68+$T10+U6</f>
        <v>22.431468314870855</v>
      </c>
      <c r="V75" s="18" t="str">
        <f t="shared" si="15"/>
        <v/>
      </c>
      <c r="W75" s="18" t="str">
        <f t="shared" si="16"/>
        <v/>
      </c>
      <c r="X75" s="58" t="str">
        <f t="shared" si="17"/>
        <v/>
      </c>
    </row>
    <row r="76" spans="1:24" ht="13.5">
      <c r="A76" s="6"/>
      <c r="B76" s="6"/>
      <c r="C76" s="14"/>
      <c r="D76" s="6">
        <f>$M76</f>
        <v>22.688209363448948</v>
      </c>
      <c r="E76" s="4" t="s">
        <v>103</v>
      </c>
      <c r="F76" s="6">
        <v>10</v>
      </c>
      <c r="G76" s="6">
        <f>$M76</f>
        <v>22.688209363448948</v>
      </c>
      <c r="H76" s="10" t="str">
        <f>IF($H$2="N","'/|",IF($H$2="Y","'/|",".)/|"))</f>
        <v>.)/|</v>
      </c>
      <c r="I76" s="1">
        <v>12</v>
      </c>
      <c r="J76" s="72">
        <f t="shared" si="12"/>
        <v>22.688209363448948</v>
      </c>
      <c r="K76" s="4" t="s">
        <v>1962</v>
      </c>
      <c r="L76" s="1">
        <f t="shared" si="13"/>
        <v>47</v>
      </c>
      <c r="M76" s="9">
        <f>(O76+O74)/2*M$3</f>
        <v>22.688209363448948</v>
      </c>
      <c r="N76" s="4" t="s">
        <v>1962</v>
      </c>
      <c r="O76" s="1">
        <f>O74+1</f>
        <v>47</v>
      </c>
      <c r="P76" s="13">
        <f t="shared" si="21"/>
        <v>22.930587537245689</v>
      </c>
      <c r="Q76" s="6" t="s">
        <v>96</v>
      </c>
      <c r="R76" s="6">
        <f>3*5^2</f>
        <v>75</v>
      </c>
      <c r="S76" s="6">
        <f>2^2*19</f>
        <v>76</v>
      </c>
      <c r="T76" s="69">
        <f>$T81-$T10</f>
        <v>22.930587537245614</v>
      </c>
      <c r="V76" s="18" t="str">
        <f>IF(T76&lt;$M76,"low",IF(T76&gt;$M77,"high",""))</f>
        <v/>
      </c>
      <c r="W76" s="18" t="str">
        <f>IF(U76=0,"",IF(U76&lt;$M76,"low",IF(U76&gt;$M77,"high","")))</f>
        <v/>
      </c>
      <c r="X76" s="58" t="str">
        <f t="shared" ref="X76:X81" si="22">IF(ABS(T76-T75)&lt;10^-10,"same","")</f>
        <v/>
      </c>
    </row>
    <row r="77" spans="1:24" ht="13.5">
      <c r="A77" s="6"/>
      <c r="B77" s="6"/>
      <c r="C77" s="14"/>
      <c r="D77" s="6"/>
      <c r="E77" s="6"/>
      <c r="F77" s="6"/>
      <c r="G77" s="6">
        <f>$M77</f>
        <v>23.176127844383334</v>
      </c>
      <c r="H77" s="10" t="s">
        <v>97</v>
      </c>
      <c r="I77" s="1">
        <f>IF($H$2="N",12,IF($H$2="Y",12,12.4))</f>
        <v>12.4</v>
      </c>
      <c r="J77" s="72">
        <f t="shared" si="12"/>
        <v>23.176127844383334</v>
      </c>
      <c r="K77" s="10" t="s">
        <v>97</v>
      </c>
      <c r="L77" s="1">
        <f t="shared" si="13"/>
        <v>48</v>
      </c>
      <c r="M77" s="9">
        <f>(O77+O76)/2*M$3</f>
        <v>23.176127844383334</v>
      </c>
      <c r="N77" s="10" t="s">
        <v>97</v>
      </c>
      <c r="O77" s="1">
        <f>O76+1</f>
        <v>48</v>
      </c>
      <c r="P77" s="11">
        <f>1200*LN($S77/$R77)/LN(2)</f>
        <v>23.460010384649014</v>
      </c>
      <c r="Q77" s="12" t="s">
        <v>98</v>
      </c>
      <c r="R77" s="12">
        <f>2^19</f>
        <v>524288</v>
      </c>
      <c r="S77" s="15">
        <f>3^12</f>
        <v>531441</v>
      </c>
      <c r="T77" s="57">
        <f>$T72+$T10</f>
        <v>23.460010384648939</v>
      </c>
      <c r="V77" s="18" t="str">
        <f>IF(T77&lt;$M77,"low",IF(T77&gt;$M78,"high",""))</f>
        <v/>
      </c>
      <c r="W77" s="18" t="str">
        <f>IF(U77=0,"",IF(U77&lt;$M77,"low",IF(U77&gt;$M78,"high","")))</f>
        <v/>
      </c>
      <c r="X77" s="58" t="str">
        <f t="shared" si="22"/>
        <v/>
      </c>
    </row>
    <row r="78" spans="1:24" ht="13.5">
      <c r="A78" s="6"/>
      <c r="B78" s="6"/>
      <c r="C78" s="14"/>
      <c r="D78" s="6"/>
      <c r="E78" s="6"/>
      <c r="F78" s="6"/>
      <c r="G78" s="1"/>
      <c r="H78" s="1"/>
      <c r="I78" s="1"/>
      <c r="J78" s="72">
        <f t="shared" si="12"/>
        <v>23.664046325317717</v>
      </c>
      <c r="K78" s="4" t="str">
        <f>IF($K$2="Y","'/|'",")/|..")</f>
        <v>'/|'</v>
      </c>
      <c r="L78" s="1">
        <f t="shared" si="13"/>
        <v>49</v>
      </c>
      <c r="M78" s="9">
        <f>(O78+O77)/2*M$3</f>
        <v>23.664046325317717</v>
      </c>
      <c r="N78" s="10" t="s">
        <v>99</v>
      </c>
      <c r="O78" s="1">
        <f>O77+1</f>
        <v>49</v>
      </c>
      <c r="P78" s="13">
        <f t="shared" si="21"/>
        <v>23.855766255401289</v>
      </c>
      <c r="Q78" s="6" t="s">
        <v>396</v>
      </c>
      <c r="R78" s="6">
        <f>2^20</f>
        <v>1048576</v>
      </c>
      <c r="S78" s="6">
        <f>3^5*5^4*7</f>
        <v>1063125</v>
      </c>
      <c r="T78" s="57">
        <f>$T72+$T10+T6</f>
        <v>23.882726550603763</v>
      </c>
      <c r="U78" s="57">
        <f>$T72+$T10+U6</f>
        <v>23.855766255401328</v>
      </c>
      <c r="V78" s="18" t="str">
        <f>IF(T78&lt;$M78,"low",IF(T78&gt;$M79,"high",""))</f>
        <v/>
      </c>
      <c r="W78" s="18" t="str">
        <f>IF(U78=0,"",IF(U78&lt;$M78,"low",IF(U78&gt;$M79,"high","")))</f>
        <v/>
      </c>
      <c r="X78" s="58" t="str">
        <f t="shared" si="22"/>
        <v/>
      </c>
    </row>
    <row r="79" spans="1:24" ht="13.5">
      <c r="A79" s="6"/>
      <c r="B79" s="6"/>
      <c r="C79" s="14"/>
      <c r="D79" s="6"/>
      <c r="E79" s="6"/>
      <c r="F79" s="6"/>
      <c r="G79" s="6">
        <f>$M79</f>
        <v>23.955448448755476</v>
      </c>
      <c r="H79" s="4" t="str">
        <f>IF($H$2="N","'/|",IF($H$2="Y",")/|",")/|"))</f>
        <v>)/|</v>
      </c>
      <c r="I79" s="31">
        <f>IF($H$2="N",12,IF($H$2="Y",13,13))</f>
        <v>13</v>
      </c>
      <c r="J79" s="72">
        <f>M79</f>
        <v>23.955448448755476</v>
      </c>
      <c r="K79" s="90" t="s">
        <v>1963</v>
      </c>
      <c r="L79" s="68">
        <f t="shared" si="13"/>
        <v>49.597235265365867</v>
      </c>
      <c r="M79" s="9">
        <f>(P78+P79)/2</f>
        <v>23.955448448755476</v>
      </c>
      <c r="N79" s="90" t="s">
        <v>1963</v>
      </c>
      <c r="O79" s="68">
        <f>O78+(M79-M78)/$M$3</f>
        <v>49.597235265365867</v>
      </c>
      <c r="P79" s="13">
        <f t="shared" si="21"/>
        <v>24.05513064210966</v>
      </c>
      <c r="Q79" s="6" t="s">
        <v>100</v>
      </c>
      <c r="R79" s="6">
        <f>3^5*5</f>
        <v>1215</v>
      </c>
      <c r="S79" s="6">
        <f>2^4*7*11</f>
        <v>1232</v>
      </c>
      <c r="T79" s="69">
        <f>$T81-T8</f>
        <v>24.051784121078175</v>
      </c>
      <c r="U79" s="69">
        <f>$T81-U8</f>
        <v>24.065836288472632</v>
      </c>
      <c r="V79" s="18" t="str">
        <f>IF(T79&lt;$M79,"low",IF(T79&gt;$M80,"high",""))</f>
        <v/>
      </c>
      <c r="W79" s="18" t="str">
        <f>IF(U79=0,"",IF(U79&lt;$M79,"low",IF(U79&gt;$M80,"high","")))</f>
        <v/>
      </c>
      <c r="X79" s="58" t="str">
        <f t="shared" si="22"/>
        <v/>
      </c>
    </row>
    <row r="80" spans="1:24" ht="13.5">
      <c r="A80" s="6">
        <f>$M80</f>
        <v>24.151964806252103</v>
      </c>
      <c r="B80" s="4" t="s">
        <v>113</v>
      </c>
      <c r="C80" s="14">
        <v>5</v>
      </c>
      <c r="D80" s="6"/>
      <c r="E80" s="6"/>
      <c r="F80" s="6"/>
      <c r="G80" s="6">
        <f>$M80</f>
        <v>24.151964806252103</v>
      </c>
      <c r="H80" s="4" t="str">
        <f>IF($H$2="N",".|)",IF($H$2="Y",")/|",")/|"))</f>
        <v>)/|</v>
      </c>
      <c r="I80" s="31">
        <f>IF($H$2="N",13,IF($H$2="Y",13,13))</f>
        <v>13</v>
      </c>
      <c r="J80" s="72">
        <f t="shared" si="12"/>
        <v>24.151964806252103</v>
      </c>
      <c r="K80" s="4" t="s">
        <v>101</v>
      </c>
      <c r="L80" s="1">
        <f t="shared" si="13"/>
        <v>50</v>
      </c>
      <c r="M80" s="9">
        <f>(O80+O78)/2*M$3</f>
        <v>24.151964806252103</v>
      </c>
      <c r="N80" s="4" t="s">
        <v>101</v>
      </c>
      <c r="O80" s="1">
        <f>O78+1</f>
        <v>50</v>
      </c>
      <c r="P80" s="13">
        <f t="shared" si="21"/>
        <v>24.278482421356287</v>
      </c>
      <c r="Q80" s="23" t="s">
        <v>871</v>
      </c>
      <c r="R80" s="23">
        <f>2^8*13</f>
        <v>3328</v>
      </c>
      <c r="S80" s="23">
        <f>3^3*5^3</f>
        <v>3375</v>
      </c>
      <c r="T80" s="57">
        <f>$T81-T6</f>
        <v>24.461592159224949</v>
      </c>
      <c r="U80" s="57">
        <f>$T81-U6</f>
        <v>24.488552454427385</v>
      </c>
      <c r="V80" s="18" t="str">
        <f>IF(T80&lt;$M80,"low",IF(T80&gt;$M81,"high",""))</f>
        <v/>
      </c>
      <c r="W80" s="18" t="str">
        <f>IF(U80=0,"",IF(U80&lt;$M80,"low",IF(U80&gt;$M81,"high","")))</f>
        <v/>
      </c>
      <c r="X80" s="58" t="str">
        <f t="shared" si="22"/>
        <v/>
      </c>
    </row>
    <row r="81" spans="1:24" ht="13.5">
      <c r="A81" s="6"/>
      <c r="B81" s="6"/>
      <c r="C81" s="14"/>
      <c r="D81" s="6"/>
      <c r="E81" s="6"/>
      <c r="F81" s="6"/>
      <c r="G81" s="6"/>
      <c r="H81" s="4"/>
      <c r="I81" s="1"/>
      <c r="J81" s="72">
        <f t="shared" si="12"/>
        <v>24.639883287186489</v>
      </c>
      <c r="K81" s="4" t="s">
        <v>103</v>
      </c>
      <c r="L81" s="1">
        <f t="shared" si="13"/>
        <v>51</v>
      </c>
      <c r="M81" s="9">
        <f>(O81+O80)/2*M$3</f>
        <v>24.639883287186489</v>
      </c>
      <c r="N81" s="4" t="s">
        <v>103</v>
      </c>
      <c r="O81" s="1">
        <f>O80+1</f>
        <v>51</v>
      </c>
      <c r="P81" s="11">
        <f t="shared" si="21"/>
        <v>24.884308325179774</v>
      </c>
      <c r="Q81" s="12" t="s">
        <v>104</v>
      </c>
      <c r="R81" s="12">
        <f>2^13*5</f>
        <v>40960</v>
      </c>
      <c r="S81" s="15">
        <f>3^7*19</f>
        <v>41553</v>
      </c>
      <c r="T81" s="57">
        <f>P81</f>
        <v>24.884308325179774</v>
      </c>
      <c r="V81" s="18" t="str">
        <f t="shared" si="15"/>
        <v/>
      </c>
      <c r="W81" s="18" t="str">
        <f t="shared" si="16"/>
        <v/>
      </c>
      <c r="X81" s="58" t="str">
        <f t="shared" si="22"/>
        <v/>
      </c>
    </row>
    <row r="82" spans="1:24" ht="13.5">
      <c r="A82" s="6"/>
      <c r="B82" s="6"/>
      <c r="C82" s="14"/>
      <c r="D82" s="6"/>
      <c r="E82" s="6"/>
      <c r="F82" s="6"/>
      <c r="G82" s="6">
        <f>$M82</f>
        <v>24.885981585695522</v>
      </c>
      <c r="H82" s="4" t="s">
        <v>107</v>
      </c>
      <c r="I82" s="31">
        <f>IF($H$2="N",13,IF($H$2="Y",13.5,13.5))</f>
        <v>13.5</v>
      </c>
      <c r="J82" s="72">
        <f t="shared" si="12"/>
        <v>24.885981585695522</v>
      </c>
      <c r="K82" s="4" t="str">
        <f>IF($K$2="Y",".|).",")/|")</f>
        <v>.|).</v>
      </c>
      <c r="L82" s="68">
        <f t="shared" si="13"/>
        <v>51.504384048002741</v>
      </c>
      <c r="M82" s="9">
        <f>(P81+P82)/2</f>
        <v>24.885981585695522</v>
      </c>
      <c r="N82" s="4" t="s">
        <v>105</v>
      </c>
      <c r="O82" s="68">
        <f>O81+(M82-M81)/$M$3</f>
        <v>51.504384048002741</v>
      </c>
      <c r="P82" s="13">
        <f t="shared" si="21"/>
        <v>24.887654846211269</v>
      </c>
      <c r="Q82" s="12" t="s">
        <v>106</v>
      </c>
      <c r="R82" s="12">
        <f>3^8</f>
        <v>6561</v>
      </c>
      <c r="S82" s="12">
        <f>2^9*13</f>
        <v>6656</v>
      </c>
      <c r="T82" s="99">
        <f>$T88-$T10-T6</f>
        <v>24.887654846211152</v>
      </c>
      <c r="U82" s="99">
        <f>$T88-$T10-U6</f>
        <v>24.914615141413588</v>
      </c>
      <c r="V82" s="18" t="str">
        <f t="shared" si="15"/>
        <v/>
      </c>
      <c r="W82" s="18" t="str">
        <f t="shared" si="16"/>
        <v/>
      </c>
      <c r="X82" s="58" t="str">
        <f t="shared" si="17"/>
        <v/>
      </c>
    </row>
    <row r="83" spans="1:24" ht="13.5">
      <c r="A83" s="6"/>
      <c r="B83" s="6"/>
      <c r="C83" s="14"/>
      <c r="D83" s="6"/>
      <c r="E83" s="6"/>
      <c r="F83" s="6"/>
      <c r="G83" s="1"/>
      <c r="H83" s="1"/>
      <c r="I83" s="1"/>
      <c r="J83" s="72">
        <f t="shared" si="12"/>
        <v>25.127801768120875</v>
      </c>
      <c r="K83" s="4" t="s">
        <v>107</v>
      </c>
      <c r="L83" s="1">
        <f t="shared" si="13"/>
        <v>52</v>
      </c>
      <c r="M83" s="9">
        <f>(O83+O81)/2*M$3</f>
        <v>25.127801768120875</v>
      </c>
      <c r="N83" s="90" t="s">
        <v>1964</v>
      </c>
      <c r="O83" s="1">
        <f>O81+1</f>
        <v>52</v>
      </c>
      <c r="P83" s="13">
        <f t="shared" si="21"/>
        <v>25.273938633395485</v>
      </c>
      <c r="Q83" s="14" t="s">
        <v>108</v>
      </c>
      <c r="R83" s="14">
        <v>68</v>
      </c>
      <c r="S83" s="14">
        <v>69</v>
      </c>
      <c r="T83" s="16">
        <f>$T81+T6</f>
        <v>25.307024491134598</v>
      </c>
      <c r="U83" s="69">
        <f>$T81+U6</f>
        <v>25.280064195932162</v>
      </c>
      <c r="V83" s="18" t="str">
        <f t="shared" si="15"/>
        <v>high</v>
      </c>
      <c r="W83" s="18" t="str">
        <f t="shared" si="16"/>
        <v/>
      </c>
      <c r="X83" s="58" t="str">
        <f t="shared" si="17"/>
        <v/>
      </c>
    </row>
    <row r="84" spans="1:24" ht="13.5">
      <c r="A84" s="6"/>
      <c r="B84" s="6"/>
      <c r="C84" s="14"/>
      <c r="D84" s="6"/>
      <c r="E84" s="6"/>
      <c r="F84" s="6"/>
      <c r="G84" s="1"/>
      <c r="H84" s="1"/>
      <c r="I84" s="1"/>
      <c r="J84" s="72"/>
      <c r="K84" s="4"/>
      <c r="L84" s="1"/>
      <c r="M84" s="9">
        <f>(P83+P84)/2</f>
        <v>25.292154822780688</v>
      </c>
      <c r="N84" s="4" t="s">
        <v>107</v>
      </c>
      <c r="O84" s="68">
        <f>O83+(M84-M83)/$M$3</f>
        <v>52.336845315522929</v>
      </c>
      <c r="P84" s="13">
        <f t="shared" si="21"/>
        <v>25.310371012165891</v>
      </c>
      <c r="Q84" s="23" t="s">
        <v>1796</v>
      </c>
      <c r="R84" s="103">
        <f>3^10*5*7</f>
        <v>2066715</v>
      </c>
      <c r="S84" s="17">
        <f>2^21</f>
        <v>2097152</v>
      </c>
      <c r="T84" s="57">
        <f>$T88-$T10</f>
        <v>25.310371012165977</v>
      </c>
      <c r="V84" s="18" t="str">
        <f t="shared" si="15"/>
        <v/>
      </c>
      <c r="W84" s="18" t="str">
        <f t="shared" si="16"/>
        <v/>
      </c>
      <c r="X84" s="58" t="str">
        <f t="shared" si="17"/>
        <v/>
      </c>
    </row>
    <row r="85" spans="1:24" ht="13.5">
      <c r="A85" s="6"/>
      <c r="B85" s="6"/>
      <c r="C85" s="14"/>
      <c r="D85" s="6"/>
      <c r="E85" s="4"/>
      <c r="F85" s="6"/>
      <c r="G85" s="1"/>
      <c r="H85" s="1"/>
      <c r="I85" s="1"/>
      <c r="J85" s="72">
        <f t="shared" si="12"/>
        <v>25.615720249055261</v>
      </c>
      <c r="K85" s="4" t="s">
        <v>2089</v>
      </c>
      <c r="L85" s="1">
        <f t="shared" si="13"/>
        <v>53</v>
      </c>
      <c r="M85" s="9">
        <f>(O85+O83)/2*M$3</f>
        <v>25.615720249055261</v>
      </c>
      <c r="N85" s="4" t="s">
        <v>2089</v>
      </c>
      <c r="O85" s="1">
        <f>O83+1</f>
        <v>53</v>
      </c>
      <c r="P85" s="13">
        <f t="shared" ref="P85:P92" si="23">1200*LN($S85/$R85)/LN(2)</f>
        <v>26.00885143004389</v>
      </c>
      <c r="Q85" s="6" t="s">
        <v>109</v>
      </c>
      <c r="R85" s="6">
        <f>2^11</f>
        <v>2048</v>
      </c>
      <c r="S85" s="6">
        <f>3^3*7*11</f>
        <v>2079</v>
      </c>
      <c r="T85" s="69">
        <f>$T88-$T10+T6</f>
        <v>25.733087178120801</v>
      </c>
      <c r="U85" s="69">
        <f>$T88-$T10+U6</f>
        <v>25.706126882918365</v>
      </c>
      <c r="V85" s="18" t="str">
        <f>IF(T85&lt;$M85,"low",IF(T85&gt;$M86,"high",""))</f>
        <v/>
      </c>
      <c r="W85" s="18" t="str">
        <f>IF(U85=0,"",IF(U85&lt;$M85,"low",IF(U85&gt;$M86,"high","")))</f>
        <v/>
      </c>
      <c r="X85" s="58" t="str">
        <f>IF(ABS(T85-T84)&lt;10^-10,"same","")</f>
        <v/>
      </c>
    </row>
    <row r="86" spans="1:24" ht="13.5">
      <c r="A86" s="6"/>
      <c r="B86" s="6"/>
      <c r="C86" s="14"/>
      <c r="D86" s="6">
        <f>$M86</f>
        <v>26.103638729989648</v>
      </c>
      <c r="E86" s="4" t="s">
        <v>113</v>
      </c>
      <c r="F86" s="6">
        <v>11</v>
      </c>
      <c r="G86" s="6">
        <f>$M86</f>
        <v>26.103638729989648</v>
      </c>
      <c r="H86" s="4" t="s">
        <v>113</v>
      </c>
      <c r="I86" s="1">
        <v>14</v>
      </c>
      <c r="J86" s="72">
        <f t="shared" si="12"/>
        <v>26.103638729989648</v>
      </c>
      <c r="K86" s="4" t="s">
        <v>110</v>
      </c>
      <c r="L86" s="1">
        <f t="shared" si="13"/>
        <v>54</v>
      </c>
      <c r="M86" s="9">
        <f>(O86+O85)/2*M$3</f>
        <v>26.103638729989648</v>
      </c>
      <c r="N86" s="4" t="s">
        <v>110</v>
      </c>
      <c r="O86" s="1">
        <f>O85+1</f>
        <v>54</v>
      </c>
      <c r="P86" s="13">
        <f t="shared" si="23"/>
        <v>26.431567595998626</v>
      </c>
      <c r="Q86" s="6" t="s">
        <v>358</v>
      </c>
      <c r="R86" s="6">
        <f>5*13</f>
        <v>65</v>
      </c>
      <c r="S86" s="6">
        <f>2*3*11</f>
        <v>66</v>
      </c>
      <c r="T86" s="57">
        <f>$T88-T8</f>
        <v>26.431567595998537</v>
      </c>
      <c r="U86" s="57">
        <f>$T88-U8</f>
        <v>26.445619763392994</v>
      </c>
      <c r="V86" s="18" t="str">
        <f>IF(T86&lt;$M86,"low",IF(T86&gt;$M87,"high",""))</f>
        <v/>
      </c>
      <c r="W86" s="18" t="str">
        <f>IF(U86=0,"",IF(U86&lt;$M86,"low",IF(U86&gt;$M87,"high","")))</f>
        <v/>
      </c>
      <c r="X86" s="58" t="str">
        <f>IF(ABS(T86-T85)&lt;10^-10,"same","")</f>
        <v/>
      </c>
    </row>
    <row r="87" spans="1:24" ht="13.5">
      <c r="A87" s="6"/>
      <c r="B87" s="6"/>
      <c r="C87" s="14"/>
      <c r="D87" s="6"/>
      <c r="E87" s="6"/>
      <c r="F87" s="6"/>
      <c r="G87" s="1"/>
      <c r="H87" s="1"/>
      <c r="I87" s="1"/>
      <c r="J87" s="72">
        <f t="shared" si="12"/>
        <v>26.591557210924034</v>
      </c>
      <c r="K87" s="4" t="s">
        <v>111</v>
      </c>
      <c r="L87" s="1">
        <f t="shared" si="13"/>
        <v>55</v>
      </c>
      <c r="M87" s="9">
        <f>(O87+O86)/2*M$3</f>
        <v>26.591557210924034</v>
      </c>
      <c r="N87" s="4" t="s">
        <v>111</v>
      </c>
      <c r="O87" s="1">
        <f>O86+1</f>
        <v>55</v>
      </c>
      <c r="P87" s="13">
        <f t="shared" si="23"/>
        <v>26.841375634145415</v>
      </c>
      <c r="Q87" s="6" t="s">
        <v>112</v>
      </c>
      <c r="R87" s="14">
        <f>2^6</f>
        <v>64</v>
      </c>
      <c r="S87" s="6">
        <f>5*13</f>
        <v>65</v>
      </c>
      <c r="T87" s="57">
        <f>$T88-T6</f>
        <v>26.841375634145312</v>
      </c>
      <c r="U87" s="57">
        <f>$T88-U6</f>
        <v>26.868335929347747</v>
      </c>
      <c r="V87" s="18" t="str">
        <f>IF(T87&lt;$M87,"low",IF(T87&gt;$M88,"high",""))</f>
        <v/>
      </c>
      <c r="W87" s="18" t="str">
        <f>IF(U87=0,"",IF(U87&lt;$M87,"low",IF(U87&gt;$M88,"high","")))</f>
        <v/>
      </c>
      <c r="X87" s="58" t="str">
        <f>IF(ABS(T87-T86)&lt;10^-10,"same","")</f>
        <v/>
      </c>
    </row>
    <row r="88" spans="1:24" ht="13.5">
      <c r="A88" s="6"/>
      <c r="B88" s="6"/>
      <c r="C88" s="14"/>
      <c r="D88" s="6"/>
      <c r="E88" s="6"/>
      <c r="F88" s="6"/>
      <c r="G88" s="1"/>
      <c r="H88" s="1"/>
      <c r="I88" s="1"/>
      <c r="J88" s="72">
        <f t="shared" si="12"/>
        <v>27.07947569185842</v>
      </c>
      <c r="K88" s="4" t="s">
        <v>113</v>
      </c>
      <c r="L88" s="1">
        <f t="shared" si="13"/>
        <v>56</v>
      </c>
      <c r="M88" s="9">
        <f>(O88+O87)/2*M$3</f>
        <v>27.07947569185842</v>
      </c>
      <c r="N88" s="4" t="s">
        <v>113</v>
      </c>
      <c r="O88" s="1">
        <f>O87+1</f>
        <v>56</v>
      </c>
      <c r="P88" s="11">
        <f t="shared" si="23"/>
        <v>27.264091800100136</v>
      </c>
      <c r="Q88" s="12" t="s">
        <v>114</v>
      </c>
      <c r="R88" s="12">
        <f>3^2*7</f>
        <v>63</v>
      </c>
      <c r="S88" s="12">
        <f>2^6</f>
        <v>64</v>
      </c>
      <c r="T88" s="57">
        <f>P88</f>
        <v>27.264091800100136</v>
      </c>
      <c r="V88" s="18" t="str">
        <f t="shared" si="15"/>
        <v/>
      </c>
      <c r="W88" s="18" t="str">
        <f t="shared" si="16"/>
        <v/>
      </c>
      <c r="X88" s="58" t="str">
        <f t="shared" si="17"/>
        <v/>
      </c>
    </row>
    <row r="89" spans="1:24" ht="13.5">
      <c r="A89" s="6"/>
      <c r="B89" s="6"/>
      <c r="C89" s="14"/>
      <c r="D89" s="6"/>
      <c r="E89" s="6"/>
      <c r="F89" s="6"/>
      <c r="G89" s="1"/>
      <c r="H89" s="1"/>
      <c r="I89" s="1"/>
      <c r="J89" s="72">
        <f t="shared" si="12"/>
        <v>27.567394172792806</v>
      </c>
      <c r="K89" s="4" t="s">
        <v>115</v>
      </c>
      <c r="L89" s="1">
        <f t="shared" si="13"/>
        <v>57</v>
      </c>
      <c r="M89" s="9">
        <f>(O89+O88)/2*M$3</f>
        <v>27.567394172792806</v>
      </c>
      <c r="N89" s="4" t="s">
        <v>115</v>
      </c>
      <c r="O89" s="1">
        <f>O88+1</f>
        <v>57</v>
      </c>
      <c r="P89" s="13">
        <f t="shared" si="23"/>
        <v>27.659847670852461</v>
      </c>
      <c r="Q89" s="6" t="s">
        <v>1800</v>
      </c>
      <c r="R89" s="6">
        <f>3^9</f>
        <v>19683</v>
      </c>
      <c r="S89" s="6">
        <f>2^5*5^4</f>
        <v>20000</v>
      </c>
      <c r="T89" s="57">
        <f>$T88+T6</f>
        <v>27.68680796605496</v>
      </c>
      <c r="U89" s="57">
        <f>$T88+U6</f>
        <v>27.659847670852525</v>
      </c>
      <c r="V89" s="18" t="str">
        <f t="shared" si="15"/>
        <v/>
      </c>
      <c r="W89" s="18" t="str">
        <f t="shared" si="16"/>
        <v/>
      </c>
      <c r="X89" s="58" t="str">
        <f t="shared" si="17"/>
        <v/>
      </c>
    </row>
    <row r="90" spans="1:24" ht="13.5">
      <c r="A90" s="6"/>
      <c r="B90" s="6"/>
      <c r="C90" s="14"/>
      <c r="D90" s="6"/>
      <c r="E90" s="6"/>
      <c r="F90" s="6"/>
      <c r="G90" s="1"/>
      <c r="H90" s="1"/>
      <c r="I90" s="1"/>
      <c r="J90" s="72"/>
      <c r="K90" s="4"/>
      <c r="L90" s="1"/>
      <c r="M90" s="9">
        <f>(P89+P90)/2</f>
        <v>27.822568376197644</v>
      </c>
      <c r="N90" s="42" t="s">
        <v>1967</v>
      </c>
      <c r="O90" s="68">
        <f>O89+(M90-M89)/$M$3</f>
        <v>57.522985321064631</v>
      </c>
      <c r="P90" s="13">
        <f t="shared" si="23"/>
        <v>27.985289081542827</v>
      </c>
      <c r="Q90" s="6" t="s">
        <v>289</v>
      </c>
      <c r="R90" s="6">
        <f>3^3*5^2</f>
        <v>675</v>
      </c>
      <c r="S90" s="6">
        <f>2*7^3</f>
        <v>686</v>
      </c>
      <c r="T90" s="57">
        <f>$T97-$T10-T8</f>
        <v>27.855865536529219</v>
      </c>
      <c r="U90" s="57">
        <f>$T97-$T10-U8</f>
        <v>27.869917703923676</v>
      </c>
      <c r="V90" s="18" t="str">
        <f t="shared" si="15"/>
        <v/>
      </c>
      <c r="W90" s="18" t="str">
        <f t="shared" si="16"/>
        <v/>
      </c>
      <c r="X90" s="58" t="str">
        <f t="shared" si="17"/>
        <v/>
      </c>
    </row>
    <row r="91" spans="1:24" ht="13.5">
      <c r="A91" s="6"/>
      <c r="B91" s="6"/>
      <c r="C91" s="14"/>
      <c r="D91" s="6"/>
      <c r="E91" s="6"/>
      <c r="F91" s="6"/>
      <c r="G91" s="1"/>
      <c r="H91" s="1"/>
      <c r="I91" s="1"/>
      <c r="J91" s="72">
        <f t="shared" si="12"/>
        <v>28.055312653727192</v>
      </c>
      <c r="K91" s="4" t="s">
        <v>116</v>
      </c>
      <c r="L91" s="1">
        <f t="shared" si="13"/>
        <v>58</v>
      </c>
      <c r="M91" s="9">
        <f>(O91+O89)/2*M$3</f>
        <v>28.055312653727192</v>
      </c>
      <c r="N91" s="4" t="s">
        <v>116</v>
      </c>
      <c r="O91" s="1">
        <f>O89+1</f>
        <v>58</v>
      </c>
      <c r="P91" s="13">
        <f t="shared" si="23"/>
        <v>28.385288383932725</v>
      </c>
      <c r="Q91" s="14" t="s">
        <v>117</v>
      </c>
      <c r="R91" s="14">
        <f>2^14*13</f>
        <v>212992</v>
      </c>
      <c r="S91" s="14">
        <f>3^9*11</f>
        <v>216513</v>
      </c>
      <c r="T91" s="57">
        <f>$T88+T8</f>
        <v>28.096616004201735</v>
      </c>
      <c r="U91" s="57">
        <f>$T88+U8</f>
        <v>28.082563836807278</v>
      </c>
      <c r="V91" s="18" t="str">
        <f t="shared" ref="V91:V126" si="24">IF(T91&lt;$M91,"low",IF(T91&gt;$M92,"high",""))</f>
        <v/>
      </c>
      <c r="W91" s="18" t="str">
        <f t="shared" ref="W91:W126" si="25">IF(U91=0,"",IF(U91&lt;$M91,"low",IF(U91&gt;$M92,"high","")))</f>
        <v/>
      </c>
      <c r="X91" s="58" t="str">
        <f t="shared" ref="X91:X126" si="26">IF(ABS(T91-T90)&lt;10^-10,"same","")</f>
        <v/>
      </c>
    </row>
    <row r="92" spans="1:24" ht="13.5">
      <c r="A92" s="6"/>
      <c r="B92" s="6"/>
      <c r="C92" s="14"/>
      <c r="D92" s="6">
        <f>$M92</f>
        <v>28.543231134661578</v>
      </c>
      <c r="E92" s="4" t="s">
        <v>123</v>
      </c>
      <c r="F92" s="6">
        <v>12</v>
      </c>
      <c r="G92" s="6">
        <f>$M92</f>
        <v>28.543231134661578</v>
      </c>
      <c r="H92" s="10" t="s">
        <v>119</v>
      </c>
      <c r="I92" s="1">
        <v>15</v>
      </c>
      <c r="J92" s="72">
        <f t="shared" si="12"/>
        <v>28.543231134661578</v>
      </c>
      <c r="K92" s="10" t="s">
        <v>118</v>
      </c>
      <c r="L92" s="1">
        <f t="shared" si="13"/>
        <v>59</v>
      </c>
      <c r="M92" s="9">
        <f>(O92+O91)/2*M$3</f>
        <v>28.543231134661578</v>
      </c>
      <c r="N92" s="100" t="s">
        <v>118</v>
      </c>
      <c r="O92" s="1">
        <f>O91+1</f>
        <v>59</v>
      </c>
      <c r="P92" s="13">
        <f t="shared" si="23"/>
        <v>28.795096422079567</v>
      </c>
      <c r="Q92" s="23" t="s">
        <v>1348</v>
      </c>
      <c r="R92" s="23">
        <f>2^21</f>
        <v>2097152</v>
      </c>
      <c r="S92" s="23">
        <f>3^8*5^2*13</f>
        <v>2132325</v>
      </c>
      <c r="T92" s="57">
        <f>$T88+$T10-T6</f>
        <v>28.795096422079471</v>
      </c>
      <c r="U92" s="57">
        <f>$T88+$T10-U6</f>
        <v>28.822056717281907</v>
      </c>
      <c r="V92" s="18" t="str">
        <f t="shared" si="24"/>
        <v/>
      </c>
      <c r="W92" s="18" t="str">
        <f t="shared" si="25"/>
        <v/>
      </c>
      <c r="X92" s="58" t="str">
        <f t="shared" si="26"/>
        <v/>
      </c>
    </row>
    <row r="93" spans="1:24" ht="13.5">
      <c r="A93" s="6"/>
      <c r="B93" s="6"/>
      <c r="C93" s="14"/>
      <c r="D93" s="6"/>
      <c r="E93" s="6"/>
      <c r="F93" s="6"/>
      <c r="G93" s="1"/>
      <c r="H93" s="1"/>
      <c r="I93" s="1"/>
      <c r="J93" s="72">
        <f t="shared" si="12"/>
        <v>29.031149615595965</v>
      </c>
      <c r="K93" s="10" t="s">
        <v>119</v>
      </c>
      <c r="L93" s="1">
        <f t="shared" si="13"/>
        <v>60</v>
      </c>
      <c r="M93" s="9">
        <f>(O93+O92)/2*M$3</f>
        <v>29.031149615595965</v>
      </c>
      <c r="N93" s="10" t="s">
        <v>119</v>
      </c>
      <c r="O93" s="1">
        <f>O92+1</f>
        <v>60</v>
      </c>
      <c r="P93" s="11">
        <f t="shared" ref="P93:P107" si="27">1200*LN($S93/$R93)/LN(2)</f>
        <v>29.217812588034239</v>
      </c>
      <c r="Q93" s="12" t="s">
        <v>120</v>
      </c>
      <c r="R93" s="12">
        <f>2^9*7</f>
        <v>3584</v>
      </c>
      <c r="S93" s="12">
        <f>3^6*5</f>
        <v>3645</v>
      </c>
      <c r="T93" s="57">
        <f>$T88+$T10</f>
        <v>29.217812588034295</v>
      </c>
      <c r="V93" s="18" t="str">
        <f t="shared" si="24"/>
        <v/>
      </c>
      <c r="W93" s="18" t="str">
        <f t="shared" si="25"/>
        <v/>
      </c>
      <c r="X93" s="58" t="str">
        <f t="shared" si="26"/>
        <v/>
      </c>
    </row>
    <row r="94" spans="1:24" ht="13.5">
      <c r="A94" s="6"/>
      <c r="B94" s="6"/>
      <c r="C94" s="14"/>
      <c r="D94" s="6"/>
      <c r="E94" s="6"/>
      <c r="F94" s="6"/>
      <c r="G94" s="1"/>
      <c r="H94" s="1"/>
      <c r="I94" s="1"/>
      <c r="J94" s="72">
        <f t="shared" si="12"/>
        <v>29.519068096530351</v>
      </c>
      <c r="K94" s="10" t="s">
        <v>284</v>
      </c>
      <c r="L94" s="1">
        <f t="shared" si="13"/>
        <v>61</v>
      </c>
      <c r="M94" s="9">
        <f>(O94+O93)/2*M$3</f>
        <v>29.519068096530351</v>
      </c>
      <c r="N94" s="10" t="s">
        <v>284</v>
      </c>
      <c r="O94" s="1">
        <f>O93+1</f>
        <v>61</v>
      </c>
      <c r="P94" s="13">
        <f t="shared" si="27"/>
        <v>29.613568458786798</v>
      </c>
      <c r="Q94" s="21" t="s">
        <v>273</v>
      </c>
      <c r="R94" s="21">
        <f>2^10*3</f>
        <v>3072</v>
      </c>
      <c r="S94" s="21">
        <f>5^5</f>
        <v>3125</v>
      </c>
      <c r="T94" s="57">
        <f>$T88+$T10+T6</f>
        <v>29.64052875398912</v>
      </c>
      <c r="U94" s="57">
        <f>$T88+$T10+U6</f>
        <v>29.613568458786684</v>
      </c>
      <c r="V94" s="18" t="str">
        <f t="shared" si="24"/>
        <v/>
      </c>
      <c r="W94" s="18" t="str">
        <f t="shared" si="25"/>
        <v/>
      </c>
      <c r="X94" s="58" t="str">
        <f t="shared" si="26"/>
        <v/>
      </c>
    </row>
    <row r="95" spans="1:24" ht="13.5">
      <c r="A95" s="6"/>
      <c r="B95" s="6"/>
      <c r="C95" s="14"/>
      <c r="D95" s="6"/>
      <c r="E95" s="6"/>
      <c r="F95" s="6"/>
      <c r="G95" s="1"/>
      <c r="H95" s="1"/>
      <c r="I95" s="1"/>
      <c r="J95" s="72"/>
      <c r="K95" s="10"/>
      <c r="L95" s="1"/>
      <c r="M95" s="9">
        <f>(P94+P95)/2</f>
        <v>29.776289164131892</v>
      </c>
      <c r="N95" s="42" t="s">
        <v>1970</v>
      </c>
      <c r="O95" s="68">
        <f>O94+(M95-M94)/$M$3</f>
        <v>61.527180415689422</v>
      </c>
      <c r="P95" s="13">
        <f t="shared" si="27"/>
        <v>29.939009869476987</v>
      </c>
      <c r="Q95" s="23" t="s">
        <v>121</v>
      </c>
      <c r="R95" s="23">
        <f>2^14*5</f>
        <v>81920</v>
      </c>
      <c r="S95" s="23">
        <f>3^5*7^3</f>
        <v>83349</v>
      </c>
      <c r="T95" s="57">
        <f>$T97-T8</f>
        <v>29.809586324463378</v>
      </c>
      <c r="U95" s="57">
        <f>$T97-U8</f>
        <v>29.823638491857835</v>
      </c>
      <c r="V95" s="18" t="str">
        <f t="shared" si="24"/>
        <v/>
      </c>
      <c r="W95" s="18" t="str">
        <f t="shared" si="25"/>
        <v/>
      </c>
      <c r="X95" s="58" t="str">
        <f t="shared" si="26"/>
        <v/>
      </c>
    </row>
    <row r="96" spans="1:24" ht="13.5">
      <c r="A96" s="6">
        <f>$M96</f>
        <v>30.006986577464737</v>
      </c>
      <c r="B96" s="4" t="s">
        <v>131</v>
      </c>
      <c r="C96" s="14">
        <v>6</v>
      </c>
      <c r="D96" s="6"/>
      <c r="E96" s="6"/>
      <c r="F96" s="6"/>
      <c r="G96" s="6">
        <f>$M96</f>
        <v>30.006986577464737</v>
      </c>
      <c r="H96" s="4" t="str">
        <f>IF($H$2="N","|\",IF($H$2="Y",".(|",")|)"))</f>
        <v>)|)</v>
      </c>
      <c r="I96" s="31">
        <v>16</v>
      </c>
      <c r="J96" s="72">
        <f t="shared" si="12"/>
        <v>30.006986577464737</v>
      </c>
      <c r="K96" s="4" t="s">
        <v>1784</v>
      </c>
      <c r="L96" s="1">
        <f t="shared" si="13"/>
        <v>62</v>
      </c>
      <c r="M96" s="9">
        <f>(O96+O94)/2*M$3</f>
        <v>30.006986577464737</v>
      </c>
      <c r="N96" s="4" t="s">
        <v>1784</v>
      </c>
      <c r="O96" s="1">
        <f>O94+1</f>
        <v>62</v>
      </c>
      <c r="P96" s="13">
        <f t="shared" si="27"/>
        <v>30.176176673548365</v>
      </c>
      <c r="Q96" s="6" t="s">
        <v>593</v>
      </c>
      <c r="R96" s="6">
        <f>3^5*11</f>
        <v>2673</v>
      </c>
      <c r="S96" s="6">
        <f>2^5*5*17</f>
        <v>2720</v>
      </c>
      <c r="T96" s="57">
        <f>$T97-T6</f>
        <v>30.219394362610153</v>
      </c>
      <c r="U96" s="57">
        <f>$T97-U6</f>
        <v>30.246354657812589</v>
      </c>
      <c r="V96" s="18" t="str">
        <f t="shared" si="24"/>
        <v/>
      </c>
      <c r="W96" s="18" t="str">
        <f t="shared" si="25"/>
        <v/>
      </c>
      <c r="X96" s="58" t="str">
        <f t="shared" si="26"/>
        <v/>
      </c>
    </row>
    <row r="97" spans="1:24" ht="13.5">
      <c r="A97" s="6"/>
      <c r="B97" s="6"/>
      <c r="C97" s="14"/>
      <c r="D97" s="6"/>
      <c r="E97" s="6"/>
      <c r="F97" s="6"/>
      <c r="G97" s="1"/>
      <c r="H97" s="1"/>
      <c r="I97" s="1"/>
      <c r="J97" s="72">
        <f t="shared" si="12"/>
        <v>30.494905058399123</v>
      </c>
      <c r="K97" s="4" t="s">
        <v>123</v>
      </c>
      <c r="L97" s="1">
        <f t="shared" si="13"/>
        <v>63</v>
      </c>
      <c r="M97" s="9">
        <f t="shared" ref="M97:M104" si="28">(O97+O96)/2*M$3</f>
        <v>30.494905058399123</v>
      </c>
      <c r="N97" s="4" t="s">
        <v>123</v>
      </c>
      <c r="O97" s="1">
        <f t="shared" ref="O97:O104" si="29">O96+1</f>
        <v>63</v>
      </c>
      <c r="P97" s="11">
        <f t="shared" si="27"/>
        <v>30.642110528564977</v>
      </c>
      <c r="Q97" s="12" t="s">
        <v>124</v>
      </c>
      <c r="R97" s="12">
        <f>2^3*7</f>
        <v>56</v>
      </c>
      <c r="S97" s="15">
        <f>3*19</f>
        <v>57</v>
      </c>
      <c r="T97" s="57">
        <f>P97</f>
        <v>30.642110528564977</v>
      </c>
      <c r="V97" s="18" t="str">
        <f t="shared" si="24"/>
        <v/>
      </c>
      <c r="W97" s="18" t="str">
        <f t="shared" si="25"/>
        <v/>
      </c>
      <c r="X97" s="58" t="str">
        <f t="shared" si="26"/>
        <v/>
      </c>
    </row>
    <row r="98" spans="1:24" ht="13.5">
      <c r="A98" s="6"/>
      <c r="B98" s="6"/>
      <c r="C98" s="14"/>
      <c r="D98" s="6">
        <f>$M98</f>
        <v>30.982823539333509</v>
      </c>
      <c r="E98" s="4" t="s">
        <v>126</v>
      </c>
      <c r="F98" s="6">
        <v>13</v>
      </c>
      <c r="G98" s="6">
        <f>$M98</f>
        <v>30.982823539333509</v>
      </c>
      <c r="H98" s="4" t="str">
        <f>IF($H$2="N","|\",IF($H$2="Y",".(|",".(|"))</f>
        <v>.(|</v>
      </c>
      <c r="I98" s="31">
        <f>IF($H$2="N",16,IF($H$2="Y",16,16.4))</f>
        <v>16.399999999999999</v>
      </c>
      <c r="J98" s="72">
        <f t="shared" si="12"/>
        <v>30.982823539333509</v>
      </c>
      <c r="K98" s="42" t="s">
        <v>1971</v>
      </c>
      <c r="L98" s="1">
        <f t="shared" si="13"/>
        <v>64</v>
      </c>
      <c r="M98" s="9">
        <f t="shared" si="28"/>
        <v>30.982823539333509</v>
      </c>
      <c r="N98" s="42" t="s">
        <v>1971</v>
      </c>
      <c r="O98" s="1">
        <f t="shared" si="29"/>
        <v>64</v>
      </c>
      <c r="P98" s="11">
        <f t="shared" si="27"/>
        <v>31.194250239533226</v>
      </c>
      <c r="Q98" s="12" t="s">
        <v>125</v>
      </c>
      <c r="R98" s="12">
        <f>5*11</f>
        <v>55</v>
      </c>
      <c r="S98" s="12">
        <f>2^3*7</f>
        <v>56</v>
      </c>
      <c r="T98" s="69">
        <f>$T104-$T10</f>
        <v>31.194250239533332</v>
      </c>
      <c r="V98" s="18" t="str">
        <f t="shared" si="24"/>
        <v/>
      </c>
      <c r="W98" s="18" t="str">
        <f t="shared" si="25"/>
        <v/>
      </c>
      <c r="X98" s="58" t="str">
        <f t="shared" si="26"/>
        <v/>
      </c>
    </row>
    <row r="99" spans="1:24" ht="13.5">
      <c r="A99" s="6"/>
      <c r="B99" s="6"/>
      <c r="C99" s="14"/>
      <c r="D99" s="6"/>
      <c r="E99" s="6"/>
      <c r="F99" s="6"/>
      <c r="G99" s="6">
        <f>$M99</f>
        <v>31.470742020267892</v>
      </c>
      <c r="H99" s="4" t="s">
        <v>126</v>
      </c>
      <c r="I99" s="31">
        <f>IF($H$2="N",16,IF($H$2="Y",16.6,16.6))</f>
        <v>16.600000000000001</v>
      </c>
      <c r="J99" s="72">
        <f t="shared" si="12"/>
        <v>31.470742020267892</v>
      </c>
      <c r="K99" s="4" t="s">
        <v>126</v>
      </c>
      <c r="L99" s="1">
        <f t="shared" si="13"/>
        <v>65</v>
      </c>
      <c r="M99" s="9">
        <f t="shared" si="28"/>
        <v>31.470742020267892</v>
      </c>
      <c r="N99" s="43" t="s">
        <v>2080</v>
      </c>
      <c r="O99" s="1">
        <f t="shared" si="29"/>
        <v>65</v>
      </c>
      <c r="P99" s="13">
        <f t="shared" ref="P99:P104" si="30">1200*LN($S99/$R99)/LN(2)</f>
        <v>31.567289246720829</v>
      </c>
      <c r="Q99" s="23" t="s">
        <v>287</v>
      </c>
      <c r="R99" s="17">
        <f>2^25</f>
        <v>33554432</v>
      </c>
      <c r="S99" s="17">
        <f>3^7*5^6</f>
        <v>34171875</v>
      </c>
      <c r="T99" s="19">
        <f>$T104-$T10+T6</f>
        <v>31.616966405488157</v>
      </c>
      <c r="U99" s="19">
        <f>$T104-$T10+U6</f>
        <v>31.590006110285721</v>
      </c>
      <c r="V99" s="18" t="str">
        <f>IF(T100&lt;$M99,"low",IF(T100&gt;$M101,"high",""))</f>
        <v/>
      </c>
      <c r="W99" s="18" t="str">
        <f>IF(U100=0,"",IF(U100&lt;$M99,"low",IF(U100&gt;$M101,"high","")))</f>
        <v/>
      </c>
      <c r="X99" s="58" t="str">
        <f>IF(ABS(T100-T98)&lt;10^-10,"same","")</f>
        <v/>
      </c>
    </row>
    <row r="100" spans="1:24" ht="13.5">
      <c r="A100" s="6"/>
      <c r="B100" s="6"/>
      <c r="C100" s="14"/>
      <c r="D100" s="6"/>
      <c r="E100" s="6"/>
      <c r="F100" s="6"/>
      <c r="G100" s="1"/>
      <c r="H100" s="1"/>
      <c r="I100" s="1"/>
      <c r="J100" s="72"/>
      <c r="K100" s="4"/>
      <c r="L100" s="1"/>
      <c r="M100" s="9">
        <f>(P99+P100)/2</f>
        <v>31.666971440075123</v>
      </c>
      <c r="N100" s="4" t="s">
        <v>126</v>
      </c>
      <c r="O100" s="68">
        <f>O99+(M100-M99)/$M$3</f>
        <v>65.402176649327657</v>
      </c>
      <c r="P100" s="11">
        <f t="shared" si="30"/>
        <v>31.766653633429414</v>
      </c>
      <c r="Q100" s="12" t="s">
        <v>127</v>
      </c>
      <c r="R100" s="12">
        <f>2*3^3</f>
        <v>54</v>
      </c>
      <c r="S100" s="12">
        <f>5*11</f>
        <v>55</v>
      </c>
      <c r="T100" s="57">
        <f>P100</f>
        <v>31.766653633429414</v>
      </c>
      <c r="V100" s="18"/>
      <c r="W100" s="18"/>
      <c r="X100" s="58"/>
    </row>
    <row r="101" spans="1:24" ht="13.5">
      <c r="A101" s="6"/>
      <c r="B101" s="6"/>
      <c r="C101" s="14"/>
      <c r="D101" s="6"/>
      <c r="E101" s="6"/>
      <c r="F101" s="6"/>
      <c r="G101" s="1"/>
      <c r="H101" s="1"/>
      <c r="I101" s="1"/>
      <c r="J101" s="72">
        <f t="shared" si="12"/>
        <v>31.958660501202278</v>
      </c>
      <c r="K101" s="4" t="s">
        <v>128</v>
      </c>
      <c r="L101" s="1">
        <f t="shared" si="13"/>
        <v>66</v>
      </c>
      <c r="M101" s="9">
        <f>(O101+O99)/2*M$3</f>
        <v>31.958660501202278</v>
      </c>
      <c r="N101" s="4" t="s">
        <v>128</v>
      </c>
      <c r="O101" s="1">
        <f>O99+1</f>
        <v>66</v>
      </c>
      <c r="P101" s="13">
        <f t="shared" si="30"/>
        <v>32.189369799384167</v>
      </c>
      <c r="Q101" s="6" t="s">
        <v>680</v>
      </c>
      <c r="R101" s="6">
        <f>3^5*7*13</f>
        <v>22113</v>
      </c>
      <c r="S101" s="6">
        <f>2^11*11</f>
        <v>22528</v>
      </c>
      <c r="T101" s="57">
        <f>$T100+T6</f>
        <v>32.189369799384238</v>
      </c>
      <c r="U101" s="57">
        <f>$T100+U6</f>
        <v>32.162409504181802</v>
      </c>
      <c r="V101" s="18" t="str">
        <f>IF(T101&lt;$M101,"low",IF(T101&gt;$M103,"high",""))</f>
        <v/>
      </c>
      <c r="W101" s="18" t="str">
        <f>IF(U101=0,"",IF(U101&lt;$M101,"low",IF(U101&gt;$M103,"high","")))</f>
        <v/>
      </c>
      <c r="X101" s="58" t="str">
        <f>IF(ABS(T101-T100)&lt;10^-10,"same","")</f>
        <v/>
      </c>
    </row>
    <row r="102" spans="1:24" ht="13.5">
      <c r="A102" s="6"/>
      <c r="B102" s="6"/>
      <c r="C102" s="14"/>
      <c r="D102" s="6"/>
      <c r="E102" s="6"/>
      <c r="F102" s="6"/>
      <c r="G102" s="1"/>
      <c r="H102" s="1"/>
      <c r="I102" s="1"/>
      <c r="J102" s="72"/>
      <c r="K102" s="4"/>
      <c r="L102" s="1"/>
      <c r="M102" s="9">
        <f>(P101+P102)/2</f>
        <v>32.2749134598537</v>
      </c>
      <c r="N102" s="42" t="s">
        <v>2081</v>
      </c>
      <c r="O102" s="68">
        <f>O101+(M102-M101)/$M$3</f>
        <v>66.648167616126742</v>
      </c>
      <c r="P102" s="13">
        <f t="shared" si="30"/>
        <v>32.360457120323233</v>
      </c>
      <c r="Q102" s="21" t="s">
        <v>279</v>
      </c>
      <c r="R102" s="21">
        <f>53</f>
        <v>53</v>
      </c>
      <c r="S102" s="21">
        <f>2*3^3</f>
        <v>54</v>
      </c>
      <c r="T102" s="57">
        <f>$P104-T8</f>
        <v>32.315446823365896</v>
      </c>
      <c r="U102" s="57">
        <f>$P104-U8</f>
        <v>32.329498990760349</v>
      </c>
      <c r="V102" s="18"/>
      <c r="W102" s="18"/>
      <c r="X102" s="58"/>
    </row>
    <row r="103" spans="1:24" ht="13.5">
      <c r="A103" s="6"/>
      <c r="B103" s="6"/>
      <c r="C103" s="14"/>
      <c r="D103" s="6">
        <f>$M103</f>
        <v>32.446578982136664</v>
      </c>
      <c r="E103" s="4" t="s">
        <v>131</v>
      </c>
      <c r="F103" s="6">
        <v>14</v>
      </c>
      <c r="G103" s="6">
        <f>$M103</f>
        <v>32.446578982136664</v>
      </c>
      <c r="H103" s="4" t="s">
        <v>131</v>
      </c>
      <c r="I103" s="1">
        <v>17</v>
      </c>
      <c r="J103" s="72">
        <f t="shared" si="12"/>
        <v>32.446578982136664</v>
      </c>
      <c r="K103" s="4" t="s">
        <v>130</v>
      </c>
      <c r="L103" s="1">
        <f t="shared" si="13"/>
        <v>67</v>
      </c>
      <c r="M103" s="9">
        <f>(O103+O101)/2*M$3</f>
        <v>32.446578982136664</v>
      </c>
      <c r="N103" s="4" t="s">
        <v>130</v>
      </c>
      <c r="O103" s="1">
        <f>O101+1</f>
        <v>67</v>
      </c>
      <c r="P103" s="13">
        <f t="shared" si="30"/>
        <v>32.621795191476473</v>
      </c>
      <c r="Q103" s="6" t="s">
        <v>737</v>
      </c>
      <c r="R103" s="6">
        <f>2^4*23</f>
        <v>368</v>
      </c>
      <c r="S103" s="6">
        <f>3*5^3</f>
        <v>375</v>
      </c>
      <c r="T103" s="57">
        <f>$T104-T6</f>
        <v>32.725254861512667</v>
      </c>
      <c r="U103" s="57">
        <f>$T104-U6</f>
        <v>32.752215156715103</v>
      </c>
      <c r="V103" s="18" t="str">
        <f t="shared" si="24"/>
        <v/>
      </c>
      <c r="W103" s="18" t="str">
        <f t="shared" si="25"/>
        <v/>
      </c>
      <c r="X103" s="58" t="str">
        <f>IF(ABS(T103-T101)&lt;10^-10,"same","")</f>
        <v/>
      </c>
    </row>
    <row r="104" spans="1:24" ht="13.5">
      <c r="A104" s="6"/>
      <c r="B104" s="6"/>
      <c r="C104" s="14"/>
      <c r="D104" s="6"/>
      <c r="E104" s="6"/>
      <c r="F104" s="6"/>
      <c r="G104" s="1"/>
      <c r="H104" s="1"/>
      <c r="I104" s="1"/>
      <c r="J104" s="72">
        <f t="shared" si="12"/>
        <v>32.934497463071054</v>
      </c>
      <c r="K104" s="4" t="s">
        <v>131</v>
      </c>
      <c r="L104" s="1">
        <f t="shared" si="13"/>
        <v>68</v>
      </c>
      <c r="M104" s="9">
        <f t="shared" si="28"/>
        <v>32.934497463071054</v>
      </c>
      <c r="N104" s="4" t="s">
        <v>131</v>
      </c>
      <c r="O104" s="1">
        <f t="shared" si="29"/>
        <v>68</v>
      </c>
      <c r="P104" s="11">
        <f t="shared" si="30"/>
        <v>33.147971027467491</v>
      </c>
      <c r="Q104" s="12" t="s">
        <v>132</v>
      </c>
      <c r="R104" s="12">
        <f>2^12*11</f>
        <v>45056</v>
      </c>
      <c r="S104" s="15">
        <f>3^8*7</f>
        <v>45927</v>
      </c>
      <c r="T104" s="57">
        <f>$P104</f>
        <v>33.147971027467491</v>
      </c>
      <c r="V104" s="18" t="str">
        <f t="shared" si="24"/>
        <v/>
      </c>
      <c r="W104" s="18" t="str">
        <f t="shared" si="25"/>
        <v/>
      </c>
      <c r="X104" s="58" t="str">
        <f t="shared" si="26"/>
        <v/>
      </c>
    </row>
    <row r="105" spans="1:24" ht="13.5">
      <c r="A105" s="6"/>
      <c r="B105" s="6"/>
      <c r="C105" s="14"/>
      <c r="D105" s="6"/>
      <c r="E105" s="6"/>
      <c r="F105" s="6"/>
      <c r="G105" s="1"/>
      <c r="H105" s="1"/>
      <c r="I105" s="1"/>
      <c r="J105" s="72"/>
      <c r="K105" s="4"/>
      <c r="L105" s="1"/>
      <c r="M105" s="9">
        <f>(P104+P105)/2</f>
        <v>33.247653220821718</v>
      </c>
      <c r="N105" s="70" t="s">
        <v>1972</v>
      </c>
      <c r="O105" s="68">
        <f>O104+(M105-M104)/$M$3</f>
        <v>68.641819832589562</v>
      </c>
      <c r="P105" s="13">
        <f t="shared" si="27"/>
        <v>33.347335414175944</v>
      </c>
      <c r="Q105" s="6" t="s">
        <v>572</v>
      </c>
      <c r="R105" s="6">
        <f>3^2*5^5</f>
        <v>28125</v>
      </c>
      <c r="S105" s="6">
        <f>2^12*7</f>
        <v>28672</v>
      </c>
      <c r="T105" s="57">
        <f>$T100+$T10-T6</f>
        <v>33.297658255408749</v>
      </c>
      <c r="U105" s="57">
        <f>$T100+$T10-U6</f>
        <v>33.324618550611184</v>
      </c>
      <c r="V105" s="18" t="str">
        <f t="shared" si="24"/>
        <v/>
      </c>
      <c r="W105" s="18" t="str">
        <f t="shared" si="25"/>
        <v/>
      </c>
      <c r="X105" s="58" t="str">
        <f t="shared" si="26"/>
        <v/>
      </c>
    </row>
    <row r="106" spans="1:24" ht="13.5">
      <c r="A106" s="6"/>
      <c r="B106" s="6"/>
      <c r="C106" s="14"/>
      <c r="D106" s="6"/>
      <c r="E106" s="6"/>
      <c r="F106" s="6"/>
      <c r="G106" s="1"/>
      <c r="H106" s="1"/>
      <c r="I106" s="1"/>
      <c r="J106" s="72">
        <f t="shared" si="12"/>
        <v>33.422415944005436</v>
      </c>
      <c r="K106" s="4" t="s">
        <v>133</v>
      </c>
      <c r="L106" s="1">
        <f t="shared" si="13"/>
        <v>69</v>
      </c>
      <c r="M106" s="9">
        <f>(O106+O104)/2*M$3</f>
        <v>33.422415944005436</v>
      </c>
      <c r="N106" s="4" t="s">
        <v>133</v>
      </c>
      <c r="O106" s="1">
        <f>O104+1</f>
        <v>69</v>
      </c>
      <c r="P106" s="11">
        <f>1200*LN($S106/$R106)/LN(2)</f>
        <v>33.617251403515773</v>
      </c>
      <c r="Q106" s="12" t="s">
        <v>134</v>
      </c>
      <c r="R106" s="15">
        <f>3*17</f>
        <v>51</v>
      </c>
      <c r="S106" s="12">
        <f>2^2*13</f>
        <v>52</v>
      </c>
      <c r="T106" s="57">
        <f>$T104+T6</f>
        <v>33.570687193422316</v>
      </c>
      <c r="U106" s="57">
        <f>$T104+U6</f>
        <v>33.54372689821988</v>
      </c>
      <c r="V106" s="18" t="str">
        <f t="shared" si="24"/>
        <v/>
      </c>
      <c r="W106" s="18" t="str">
        <f t="shared" si="25"/>
        <v/>
      </c>
      <c r="X106" s="58" t="str">
        <f t="shared" si="26"/>
        <v/>
      </c>
    </row>
    <row r="107" spans="1:24" ht="13.5">
      <c r="A107" s="6"/>
      <c r="B107" s="6"/>
      <c r="C107" s="14"/>
      <c r="D107" s="6"/>
      <c r="E107" s="6"/>
      <c r="F107" s="6"/>
      <c r="G107" s="1"/>
      <c r="H107" s="1"/>
      <c r="I107" s="1"/>
      <c r="J107" s="72"/>
      <c r="K107" s="4"/>
      <c r="L107" s="1"/>
      <c r="M107" s="9">
        <f>(P106+P107)/2</f>
        <v>33.680171344221961</v>
      </c>
      <c r="N107" s="43" t="s">
        <v>1973</v>
      </c>
      <c r="O107" s="68">
        <f>O106+(M107-M106)/$M$3</f>
        <v>69.528275542510528</v>
      </c>
      <c r="P107" s="13">
        <f t="shared" si="27"/>
        <v>33.743091284928141</v>
      </c>
      <c r="Q107" s="6" t="s">
        <v>1798</v>
      </c>
      <c r="R107" s="6">
        <f>3^9*5</f>
        <v>98415</v>
      </c>
      <c r="S107" s="61">
        <f>2^11*7^2</f>
        <v>100352</v>
      </c>
      <c r="T107" s="57">
        <f>$T112-$T10</f>
        <v>33.743091284928163</v>
      </c>
      <c r="U107" s="57"/>
      <c r="V107" s="18" t="str">
        <f t="shared" si="24"/>
        <v/>
      </c>
      <c r="W107" s="18" t="str">
        <f t="shared" si="25"/>
        <v/>
      </c>
      <c r="X107" s="58" t="str">
        <f t="shared" si="26"/>
        <v/>
      </c>
    </row>
    <row r="108" spans="1:24" ht="13.5">
      <c r="A108" s="6"/>
      <c r="B108" s="6"/>
      <c r="C108" s="14"/>
      <c r="D108" s="6"/>
      <c r="E108" s="6"/>
      <c r="F108" s="6"/>
      <c r="G108" s="1"/>
      <c r="H108" s="1"/>
      <c r="I108" s="1"/>
      <c r="J108" s="72">
        <f t="shared" si="12"/>
        <v>33.910334424939826</v>
      </c>
      <c r="K108" s="4" t="s">
        <v>135</v>
      </c>
      <c r="L108" s="1">
        <f t="shared" si="13"/>
        <v>70</v>
      </c>
      <c r="M108" s="9">
        <f>(O108+O106)/2*M$3</f>
        <v>33.910334424939826</v>
      </c>
      <c r="N108" s="4" t="s">
        <v>135</v>
      </c>
      <c r="O108" s="1">
        <f>O106+1</f>
        <v>70</v>
      </c>
      <c r="P108" s="13">
        <f>1200*LN($S108/$R108)/LN(2)</f>
        <v>34.282982636125098</v>
      </c>
      <c r="Q108" s="14" t="s">
        <v>136</v>
      </c>
      <c r="R108" s="14">
        <f>2*5^2</f>
        <v>50</v>
      </c>
      <c r="S108" s="14">
        <f>3*17</f>
        <v>51</v>
      </c>
      <c r="T108" s="57">
        <f>$T104+T8</f>
        <v>33.980495231569087</v>
      </c>
      <c r="U108" s="57">
        <f>$T104+U8</f>
        <v>33.966443064174634</v>
      </c>
      <c r="V108" s="18" t="str">
        <f t="shared" si="24"/>
        <v/>
      </c>
      <c r="W108" s="18" t="str">
        <f t="shared" si="25"/>
        <v/>
      </c>
      <c r="X108" s="58" t="str">
        <f t="shared" si="26"/>
        <v/>
      </c>
    </row>
    <row r="109" spans="1:24" ht="13.5">
      <c r="A109" s="6"/>
      <c r="B109" s="6"/>
      <c r="C109" s="14"/>
      <c r="D109" s="6">
        <f>$M109</f>
        <v>34.398252905874209</v>
      </c>
      <c r="E109" s="4" t="s">
        <v>140</v>
      </c>
      <c r="F109" s="6">
        <v>15</v>
      </c>
      <c r="G109" s="6">
        <f>$M109</f>
        <v>34.398252905874209</v>
      </c>
      <c r="H109" s="4" t="str">
        <f>IF($H$2="N","~|)",IF($H$2="Y","'(|","'(|"))</f>
        <v>'(|</v>
      </c>
      <c r="I109" s="1">
        <v>18</v>
      </c>
      <c r="J109" s="72">
        <f t="shared" si="12"/>
        <v>34.398252905874209</v>
      </c>
      <c r="K109" s="100" t="s">
        <v>2090</v>
      </c>
      <c r="L109" s="1">
        <f t="shared" si="13"/>
        <v>71</v>
      </c>
      <c r="M109" s="9">
        <f>(O109+O108)/2*M$3</f>
        <v>34.398252905874209</v>
      </c>
      <c r="N109" s="100" t="s">
        <v>2090</v>
      </c>
      <c r="O109" s="1">
        <f>O108+1</f>
        <v>71</v>
      </c>
      <c r="P109" s="13">
        <f t="shared" ref="P109:P121" si="31">1200*LN($S109/$R109)/LN(2)</f>
        <v>34.695230298286717</v>
      </c>
      <c r="Q109" s="23" t="s">
        <v>471</v>
      </c>
      <c r="R109" s="23">
        <f>13*19</f>
        <v>247</v>
      </c>
      <c r="S109" s="23">
        <f>2^2*3^2*7</f>
        <v>252</v>
      </c>
      <c r="T109" s="57">
        <f>$T104+$T10-T6</f>
        <v>34.678975649446826</v>
      </c>
      <c r="U109" s="57">
        <f>$T104+$T10-U6</f>
        <v>34.705935944649262</v>
      </c>
      <c r="V109" s="18" t="str">
        <f t="shared" si="24"/>
        <v/>
      </c>
      <c r="W109" s="18" t="str">
        <f t="shared" si="25"/>
        <v/>
      </c>
      <c r="X109" s="58" t="str">
        <f t="shared" si="26"/>
        <v/>
      </c>
    </row>
    <row r="110" spans="1:24" ht="13.5">
      <c r="A110" s="6"/>
      <c r="B110" s="6"/>
      <c r="C110" s="14"/>
      <c r="D110" s="6"/>
      <c r="E110" s="6"/>
      <c r="F110" s="6"/>
      <c r="G110" s="1"/>
      <c r="H110" s="1"/>
      <c r="I110" s="1"/>
      <c r="J110" s="72">
        <f t="shared" si="12"/>
        <v>34.886171386808599</v>
      </c>
      <c r="K110" s="70" t="s">
        <v>1974</v>
      </c>
      <c r="L110" s="1">
        <f t="shared" si="13"/>
        <v>72</v>
      </c>
      <c r="M110" s="9">
        <f>(O110+O109)/2*M$3</f>
        <v>34.886171386808599</v>
      </c>
      <c r="N110" s="70" t="s">
        <v>1974</v>
      </c>
      <c r="O110" s="1">
        <f>O109+1</f>
        <v>72</v>
      </c>
      <c r="P110" s="11">
        <f t="shared" si="31"/>
        <v>34.975614791419815</v>
      </c>
      <c r="Q110" s="12" t="s">
        <v>139</v>
      </c>
      <c r="R110" s="12">
        <f>7^2</f>
        <v>49</v>
      </c>
      <c r="S110" s="12">
        <f>2*5^2</f>
        <v>50</v>
      </c>
      <c r="T110" s="69">
        <f>$T104+$T10</f>
        <v>35.101691815401651</v>
      </c>
      <c r="V110" s="18" t="str">
        <f t="shared" si="24"/>
        <v/>
      </c>
      <c r="W110" s="18" t="str">
        <f t="shared" si="25"/>
        <v/>
      </c>
      <c r="X110" s="58" t="str">
        <f t="shared" si="26"/>
        <v/>
      </c>
    </row>
    <row r="111" spans="1:24" ht="13.5">
      <c r="A111" s="6">
        <f>$M111</f>
        <v>35.118091464366501</v>
      </c>
      <c r="B111" s="4" t="str">
        <f>IF($B$2&gt;10,"(|(","~|)")</f>
        <v>(|(</v>
      </c>
      <c r="C111" s="14">
        <v>7</v>
      </c>
      <c r="D111" s="6"/>
      <c r="E111" s="6"/>
      <c r="F111" s="6"/>
      <c r="G111" s="6">
        <f>$M111</f>
        <v>35.118091464366501</v>
      </c>
      <c r="H111" s="4" t="s">
        <v>140</v>
      </c>
      <c r="I111" s="31">
        <f>IF($H$2="N",18,IF($H$2="Y",18.4,18.4))</f>
        <v>18.399999999999999</v>
      </c>
      <c r="J111" s="72">
        <f t="shared" si="12"/>
        <v>35.118091464366501</v>
      </c>
      <c r="K111" s="4" t="str">
        <f>IF($K$2="Y","~|).","'(|")</f>
        <v>~|).</v>
      </c>
      <c r="L111" s="68">
        <f t="shared" si="13"/>
        <v>72.475325462388241</v>
      </c>
      <c r="M111" s="9">
        <f>(P110+P111)/2</f>
        <v>35.118091464366501</v>
      </c>
      <c r="N111" s="4" t="s">
        <v>138</v>
      </c>
      <c r="O111" s="68">
        <f>O110+(M111-M110)/$M$3</f>
        <v>72.475325462388241</v>
      </c>
      <c r="P111" s="13">
        <f t="shared" si="31"/>
        <v>35.260568137313193</v>
      </c>
      <c r="Q111" s="14" t="s">
        <v>271</v>
      </c>
      <c r="R111" s="14">
        <f>3^5</f>
        <v>243</v>
      </c>
      <c r="S111" s="14">
        <f>2^3*31</f>
        <v>248</v>
      </c>
      <c r="T111" s="57">
        <f>$T112-T6</f>
        <v>35.274095906907498</v>
      </c>
      <c r="U111" s="57">
        <f>$T112-U6</f>
        <v>35.301056202109933</v>
      </c>
      <c r="V111" s="18" t="str">
        <f t="shared" si="24"/>
        <v/>
      </c>
      <c r="W111" s="18" t="str">
        <f t="shared" si="25"/>
        <v/>
      </c>
      <c r="X111" s="58" t="str">
        <f t="shared" si="26"/>
        <v/>
      </c>
    </row>
    <row r="112" spans="1:24" ht="13.5">
      <c r="A112" s="6"/>
      <c r="B112" s="6"/>
      <c r="C112" s="14"/>
      <c r="D112" s="6"/>
      <c r="E112" s="6"/>
      <c r="F112" s="6"/>
      <c r="G112" s="1"/>
      <c r="H112" s="1"/>
      <c r="I112" s="1"/>
      <c r="J112" s="72">
        <f t="shared" si="12"/>
        <v>35.374089867742981</v>
      </c>
      <c r="K112" s="4" t="s">
        <v>140</v>
      </c>
      <c r="L112" s="1">
        <f t="shared" si="13"/>
        <v>73</v>
      </c>
      <c r="M112" s="9">
        <f>(O112+O110)/2*M$3</f>
        <v>35.374089867742981</v>
      </c>
      <c r="N112" s="4" t="s">
        <v>140</v>
      </c>
      <c r="O112" s="1">
        <f>O110+1</f>
        <v>73</v>
      </c>
      <c r="P112" s="11">
        <f>1200*LN($S112/$R112)/LN(2)</f>
        <v>35.696812072862322</v>
      </c>
      <c r="Q112" s="12" t="s">
        <v>141</v>
      </c>
      <c r="R112" s="12">
        <f>2^4*3</f>
        <v>48</v>
      </c>
      <c r="S112" s="12">
        <f>7^2</f>
        <v>49</v>
      </c>
      <c r="T112" s="57">
        <f>P112</f>
        <v>35.696812072862322</v>
      </c>
      <c r="V112" s="18" t="str">
        <f t="shared" si="24"/>
        <v/>
      </c>
      <c r="W112" s="18" t="str">
        <f t="shared" si="25"/>
        <v/>
      </c>
      <c r="X112" s="58" t="str">
        <f t="shared" si="26"/>
        <v/>
      </c>
    </row>
    <row r="113" spans="1:24" ht="13.5">
      <c r="A113" s="6"/>
      <c r="B113" s="6"/>
      <c r="C113" s="14"/>
      <c r="D113" s="6"/>
      <c r="E113" s="6"/>
      <c r="F113" s="6"/>
      <c r="G113" s="1"/>
      <c r="H113" s="1"/>
      <c r="I113" s="1"/>
      <c r="J113" s="72">
        <f t="shared" si="12"/>
        <v>35.862008348677364</v>
      </c>
      <c r="K113" s="4" t="s">
        <v>142</v>
      </c>
      <c r="L113" s="1">
        <f t="shared" si="13"/>
        <v>74</v>
      </c>
      <c r="M113" s="9">
        <f>(O113+O112)/2*M$3</f>
        <v>35.862008348677364</v>
      </c>
      <c r="N113" s="4" t="s">
        <v>142</v>
      </c>
      <c r="O113" s="1">
        <f>O112+1</f>
        <v>74</v>
      </c>
      <c r="P113" s="13">
        <f t="shared" si="31"/>
        <v>36.236703424059158</v>
      </c>
      <c r="Q113" s="21" t="s">
        <v>263</v>
      </c>
      <c r="R113" s="21">
        <f>2^16*5</f>
        <v>327680</v>
      </c>
      <c r="S113" s="21">
        <f>3^9*17</f>
        <v>334611</v>
      </c>
      <c r="T113" s="57">
        <f>$T112+T6</f>
        <v>36.119528238817146</v>
      </c>
      <c r="U113" s="57">
        <f>$T112+U6</f>
        <v>36.092567943614711</v>
      </c>
      <c r="V113" s="18" t="str">
        <f t="shared" si="24"/>
        <v/>
      </c>
      <c r="W113" s="18" t="str">
        <f t="shared" si="25"/>
        <v/>
      </c>
      <c r="X113" s="58" t="str">
        <f t="shared" si="26"/>
        <v/>
      </c>
    </row>
    <row r="114" spans="1:24" ht="13.5">
      <c r="A114" s="6"/>
      <c r="B114" s="6"/>
      <c r="C114" s="14"/>
      <c r="D114" s="6"/>
      <c r="E114" s="6"/>
      <c r="F114" s="6"/>
      <c r="G114" s="1"/>
      <c r="H114" s="1"/>
      <c r="I114" s="1"/>
      <c r="J114" s="72">
        <f t="shared" si="12"/>
        <v>36.349926829611753</v>
      </c>
      <c r="K114" s="42" t="s">
        <v>1975</v>
      </c>
      <c r="L114" s="1">
        <f t="shared" si="13"/>
        <v>75</v>
      </c>
      <c r="M114" s="9">
        <f>(O114+O113)/2*M$3</f>
        <v>36.349926829611753</v>
      </c>
      <c r="N114" s="42" t="s">
        <v>1975</v>
      </c>
      <c r="O114" s="1">
        <f>O113+1</f>
        <v>75</v>
      </c>
      <c r="P114" s="13">
        <f t="shared" si="31"/>
        <v>36.448378852222433</v>
      </c>
      <c r="Q114" s="21" t="s">
        <v>266</v>
      </c>
      <c r="R114" s="21">
        <f>47</f>
        <v>47</v>
      </c>
      <c r="S114" s="21">
        <f>2^4*3</f>
        <v>48</v>
      </c>
      <c r="T114" s="57">
        <f>$T112+T8</f>
        <v>36.529336276963917</v>
      </c>
      <c r="U114" s="57">
        <f>$T112+U8</f>
        <v>36.515284109569464</v>
      </c>
      <c r="V114" s="18" t="str">
        <f t="shared" si="24"/>
        <v/>
      </c>
      <c r="W114" s="18" t="str">
        <f t="shared" si="25"/>
        <v/>
      </c>
      <c r="X114" s="58" t="str">
        <f t="shared" si="26"/>
        <v/>
      </c>
    </row>
    <row r="115" spans="1:24" ht="13.5">
      <c r="A115" s="6"/>
      <c r="B115" s="6"/>
      <c r="C115" s="14"/>
      <c r="D115" s="6"/>
      <c r="E115" s="6"/>
      <c r="F115" s="6"/>
      <c r="G115" s="6">
        <f>$M115</f>
        <v>36.588490003137863</v>
      </c>
      <c r="H115" s="4" t="s">
        <v>145</v>
      </c>
      <c r="I115" s="1">
        <v>19</v>
      </c>
      <c r="J115" s="72">
        <f t="shared" si="12"/>
        <v>36.588490003137863</v>
      </c>
      <c r="K115" s="4" t="str">
        <f>IF($K$2="Y",".(|(.","~|)''")</f>
        <v>.(|(.</v>
      </c>
      <c r="L115" s="68">
        <f t="shared" si="13"/>
        <v>75.488940638340338</v>
      </c>
      <c r="M115" s="9">
        <f>(P114+P115)/2</f>
        <v>36.588490003137863</v>
      </c>
      <c r="N115" s="4" t="s">
        <v>2073</v>
      </c>
      <c r="O115" s="68">
        <f>O114+(M115-M114)/$M$3</f>
        <v>75.488940638340338</v>
      </c>
      <c r="P115" s="13">
        <f t="shared" si="31"/>
        <v>36.728601154053287</v>
      </c>
      <c r="Q115" s="14" t="s">
        <v>144</v>
      </c>
      <c r="R115" s="14">
        <f>2^10*23</f>
        <v>23552</v>
      </c>
      <c r="S115" s="14">
        <f>3^7*11</f>
        <v>24057</v>
      </c>
      <c r="T115" s="68">
        <f>$T121-$T10-T6</f>
        <v>36.529336276963932</v>
      </c>
      <c r="U115" s="68">
        <f>$T121-$T10-U6</f>
        <v>36.556296572166367</v>
      </c>
      <c r="V115" s="18" t="str">
        <f t="shared" si="24"/>
        <v>low</v>
      </c>
      <c r="W115" s="18" t="str">
        <f t="shared" si="25"/>
        <v>low</v>
      </c>
      <c r="X115" s="58" t="str">
        <f t="shared" si="26"/>
        <v>same</v>
      </c>
    </row>
    <row r="116" spans="1:24" ht="13.5">
      <c r="A116" s="6"/>
      <c r="B116" s="6"/>
      <c r="C116" s="14"/>
      <c r="D116" s="6"/>
      <c r="E116" s="6"/>
      <c r="F116" s="6"/>
      <c r="G116" s="1"/>
      <c r="H116" s="1"/>
      <c r="I116" s="1"/>
      <c r="J116" s="72">
        <f t="shared" si="12"/>
        <v>36.837845310546136</v>
      </c>
      <c r="K116" s="4" t="s">
        <v>145</v>
      </c>
      <c r="L116" s="1">
        <f t="shared" si="13"/>
        <v>76</v>
      </c>
      <c r="M116" s="9">
        <f>(O116+O114)/2*M$3</f>
        <v>36.837845310546136</v>
      </c>
      <c r="N116" s="4" t="s">
        <v>145</v>
      </c>
      <c r="O116" s="1">
        <f>O114+1</f>
        <v>76</v>
      </c>
      <c r="P116" s="13">
        <f t="shared" si="31"/>
        <v>36.952052442918934</v>
      </c>
      <c r="Q116" s="6" t="s">
        <v>146</v>
      </c>
      <c r="R116" s="6">
        <f>3^6*11</f>
        <v>8019</v>
      </c>
      <c r="S116" s="25">
        <f>2^13</f>
        <v>8192</v>
      </c>
      <c r="T116" s="57">
        <f>$T121-$T10</f>
        <v>36.952052442918756</v>
      </c>
      <c r="U116" s="57"/>
      <c r="V116" s="18" t="str">
        <f t="shared" si="24"/>
        <v/>
      </c>
      <c r="W116" s="18" t="str">
        <f t="shared" si="25"/>
        <v/>
      </c>
      <c r="X116" s="58" t="str">
        <f t="shared" si="26"/>
        <v/>
      </c>
    </row>
    <row r="117" spans="1:24" ht="13.5">
      <c r="A117" s="6"/>
      <c r="B117" s="6"/>
      <c r="C117" s="14"/>
      <c r="D117" s="6">
        <f>$M117</f>
        <v>37.325763791480526</v>
      </c>
      <c r="E117" s="4" t="str">
        <f>IF($E$2="N","(|(","/|~")</f>
        <v>/|~</v>
      </c>
      <c r="F117" s="31">
        <v>16</v>
      </c>
      <c r="G117" s="6">
        <f>$M117</f>
        <v>37.325763791480526</v>
      </c>
      <c r="H117" s="4" t="str">
        <f>IF($H$2="N",".(|(",IF($H$2="Y","'~|)","'~|)"))</f>
        <v>'~|)</v>
      </c>
      <c r="I117" s="31">
        <f>IF($H$2="N",19,IF($H$2="Y",19.6,19.6))</f>
        <v>19.600000000000001</v>
      </c>
      <c r="J117" s="72">
        <f t="shared" si="12"/>
        <v>37.325763791480526</v>
      </c>
      <c r="K117" s="70" t="s">
        <v>1976</v>
      </c>
      <c r="L117" s="1">
        <f t="shared" si="13"/>
        <v>77</v>
      </c>
      <c r="M117" s="9">
        <f>(O117+O116)/2*M$3</f>
        <v>37.325763791480526</v>
      </c>
      <c r="N117" s="70" t="s">
        <v>1976</v>
      </c>
      <c r="O117" s="1">
        <f>O116+1</f>
        <v>77</v>
      </c>
      <c r="P117" s="13">
        <f>1200*LN($S117/$R117)/LN(2)</f>
        <v>37.650532860796602</v>
      </c>
      <c r="Q117" s="14" t="s">
        <v>147</v>
      </c>
      <c r="R117" s="14">
        <f>2^19</f>
        <v>524288</v>
      </c>
      <c r="S117" s="14">
        <f>3^7*5*7^2</f>
        <v>535815</v>
      </c>
      <c r="T117" s="57">
        <f>$T112+$T10</f>
        <v>37.650532860796481</v>
      </c>
      <c r="U117" s="57"/>
      <c r="V117" s="18" t="str">
        <f t="shared" si="24"/>
        <v/>
      </c>
      <c r="W117" s="18" t="str">
        <f t="shared" si="25"/>
        <v/>
      </c>
      <c r="X117" s="58" t="str">
        <f t="shared" si="26"/>
        <v/>
      </c>
    </row>
    <row r="118" spans="1:24" ht="13.5">
      <c r="A118" s="6"/>
      <c r="B118" s="6"/>
      <c r="C118" s="14"/>
      <c r="D118" s="6"/>
      <c r="E118" s="6"/>
      <c r="F118" s="6"/>
      <c r="G118" s="6">
        <f>$M118</f>
        <v>37.813682272414908</v>
      </c>
      <c r="H118" s="4" t="str">
        <f>IF($H$2="N",".(|(",IF($H$2="Y","'~|)","/|~"))</f>
        <v>/|~</v>
      </c>
      <c r="I118" s="31">
        <f>IF($H$2="N",19,IF($H$2="Y",19.6,19.9))</f>
        <v>19.899999999999999</v>
      </c>
      <c r="J118" s="72">
        <f t="shared" si="12"/>
        <v>37.813682272414908</v>
      </c>
      <c r="K118" s="4" t="str">
        <f>IF($K$2="Y","/|~","(|(..")</f>
        <v>/|~</v>
      </c>
      <c r="L118" s="1">
        <f t="shared" si="13"/>
        <v>78</v>
      </c>
      <c r="M118" s="9">
        <f>(O118+O117)/2*M$3</f>
        <v>37.813682272414908</v>
      </c>
      <c r="N118" s="4" t="s">
        <v>148</v>
      </c>
      <c r="O118" s="1">
        <f>O117+1</f>
        <v>78</v>
      </c>
      <c r="P118" s="11">
        <f t="shared" si="31"/>
        <v>38.050631672805665</v>
      </c>
      <c r="Q118" s="12" t="s">
        <v>149</v>
      </c>
      <c r="R118" s="12">
        <f>3^2*5</f>
        <v>45</v>
      </c>
      <c r="S118" s="12">
        <f>2*23</f>
        <v>46</v>
      </c>
      <c r="T118" s="57">
        <f>P118</f>
        <v>38.050631672805665</v>
      </c>
      <c r="V118" s="18" t="str">
        <f t="shared" si="24"/>
        <v/>
      </c>
      <c r="W118" s="18" t="str">
        <f t="shared" si="25"/>
        <v/>
      </c>
      <c r="X118" s="58" t="str">
        <f t="shared" si="26"/>
        <v/>
      </c>
    </row>
    <row r="119" spans="1:24" ht="13.5">
      <c r="A119" s="6"/>
      <c r="B119" s="6"/>
      <c r="C119" s="14"/>
      <c r="D119" s="6">
        <f>$M119</f>
        <v>38.061940349778503</v>
      </c>
      <c r="E119" s="4" t="s">
        <v>154</v>
      </c>
      <c r="F119" s="31">
        <f>IF($E$2="N",16,16.3)</f>
        <v>16.3</v>
      </c>
      <c r="G119" s="6">
        <f>$M119</f>
        <v>38.061940349778503</v>
      </c>
      <c r="H119" s="4" t="s">
        <v>154</v>
      </c>
      <c r="I119" s="1">
        <v>20</v>
      </c>
      <c r="J119" s="72">
        <f t="shared" si="12"/>
        <v>38.061940349778503</v>
      </c>
      <c r="K119" s="4" t="s">
        <v>150</v>
      </c>
      <c r="L119" s="68">
        <f t="shared" si="13"/>
        <v>78.50881056378141</v>
      </c>
      <c r="M119" s="9">
        <f>(P118+P119)/2</f>
        <v>38.061940349778503</v>
      </c>
      <c r="N119" s="4" t="s">
        <v>150</v>
      </c>
      <c r="O119" s="68">
        <f>O118+(M119-M118)/$M$3</f>
        <v>78.50881056378141</v>
      </c>
      <c r="P119" s="11">
        <f t="shared" si="31"/>
        <v>38.073249026751341</v>
      </c>
      <c r="Q119" s="12" t="s">
        <v>151</v>
      </c>
      <c r="R119" s="12">
        <f>2^7*13</f>
        <v>1664</v>
      </c>
      <c r="S119" s="12">
        <f>3^5*7</f>
        <v>1701</v>
      </c>
      <c r="T119" s="69">
        <f>$T121-T8</f>
        <v>38.07324902675132</v>
      </c>
      <c r="U119" s="69">
        <f>$T121-U8</f>
        <v>38.087301194145773</v>
      </c>
      <c r="V119" s="18" t="str">
        <f t="shared" si="24"/>
        <v/>
      </c>
      <c r="W119" s="18" t="str">
        <f t="shared" si="25"/>
        <v/>
      </c>
      <c r="X119" s="58" t="str">
        <f t="shared" si="26"/>
        <v/>
      </c>
    </row>
    <row r="120" spans="1:24" ht="13.5">
      <c r="A120" s="6"/>
      <c r="B120" s="6"/>
      <c r="C120" s="14"/>
      <c r="D120" s="6"/>
      <c r="E120" s="6"/>
      <c r="F120" s="6"/>
      <c r="G120" s="1"/>
      <c r="H120" s="1"/>
      <c r="I120" s="1"/>
      <c r="J120" s="72">
        <f t="shared" si="12"/>
        <v>38.301600753349298</v>
      </c>
      <c r="K120" s="4" t="s">
        <v>152</v>
      </c>
      <c r="L120" s="1">
        <f t="shared" si="13"/>
        <v>79</v>
      </c>
      <c r="M120" s="9">
        <f>(O120+O118)/2*M$3</f>
        <v>38.301600753349298</v>
      </c>
      <c r="N120" s="4" t="s">
        <v>152</v>
      </c>
      <c r="O120" s="1">
        <f>O118+1</f>
        <v>79</v>
      </c>
      <c r="P120" s="13">
        <f>1200*LN($S120/$R120)/LN(2)</f>
        <v>38.542529402799694</v>
      </c>
      <c r="Q120" s="6" t="s">
        <v>153</v>
      </c>
      <c r="R120" s="14">
        <f>3^4*17</f>
        <v>1377</v>
      </c>
      <c r="S120" s="22">
        <f>2^7*11</f>
        <v>1408</v>
      </c>
      <c r="T120" s="57">
        <f>$T121-T6</f>
        <v>38.483057064898091</v>
      </c>
      <c r="U120" s="99">
        <f>$T118+U6</f>
        <v>38.446387543558053</v>
      </c>
      <c r="V120" s="18" t="str">
        <f t="shared" si="24"/>
        <v/>
      </c>
      <c r="W120" s="18" t="str">
        <f t="shared" si="25"/>
        <v/>
      </c>
      <c r="X120" s="58" t="str">
        <f t="shared" si="26"/>
        <v/>
      </c>
    </row>
    <row r="121" spans="1:24" ht="13.5">
      <c r="A121" s="6"/>
      <c r="B121" s="6"/>
      <c r="C121" s="14"/>
      <c r="D121" s="6"/>
      <c r="E121" s="6"/>
      <c r="F121" s="6"/>
      <c r="G121" s="6"/>
      <c r="H121" s="1"/>
      <c r="I121" s="1"/>
      <c r="J121" s="72">
        <f t="shared" si="12"/>
        <v>38.789519234283681</v>
      </c>
      <c r="K121" s="4" t="s">
        <v>154</v>
      </c>
      <c r="L121" s="1">
        <f t="shared" si="13"/>
        <v>80</v>
      </c>
      <c r="M121" s="9">
        <f>(O121+O120)/2*M$3</f>
        <v>38.789519234283681</v>
      </c>
      <c r="N121" s="4" t="s">
        <v>154</v>
      </c>
      <c r="O121" s="1">
        <f>O120+1</f>
        <v>80</v>
      </c>
      <c r="P121" s="11">
        <f t="shared" si="31"/>
        <v>38.905773230852915</v>
      </c>
      <c r="Q121" s="12" t="s">
        <v>155</v>
      </c>
      <c r="R121" s="12">
        <f>11*2^2</f>
        <v>44</v>
      </c>
      <c r="S121" s="12">
        <f>3^2*5</f>
        <v>45</v>
      </c>
      <c r="T121" s="57">
        <f>P121</f>
        <v>38.905773230852915</v>
      </c>
      <c r="V121" s="18" t="str">
        <f>IF(T121&lt;$M121,"low",IF(T121&gt;$M123,"high",""))</f>
        <v/>
      </c>
      <c r="W121" s="18" t="str">
        <f>IF(U121=0,"",IF(U121&lt;$M121,"low",IF(U121&gt;$M123,"high","")))</f>
        <v/>
      </c>
      <c r="X121" s="58" t="str">
        <f t="shared" si="26"/>
        <v/>
      </c>
    </row>
    <row r="122" spans="1:24" ht="13.5">
      <c r="A122" s="6"/>
      <c r="B122" s="6"/>
      <c r="C122" s="14"/>
      <c r="D122" s="6"/>
      <c r="E122" s="6"/>
      <c r="F122" s="6"/>
      <c r="G122" s="6"/>
      <c r="H122" s="1"/>
      <c r="I122" s="1"/>
      <c r="J122" s="72"/>
      <c r="K122" s="4"/>
      <c r="L122" s="1"/>
      <c r="M122" s="9">
        <f>(P121+P122)/2</f>
        <v>39.005455424207121</v>
      </c>
      <c r="N122" s="4" t="s">
        <v>2097</v>
      </c>
      <c r="O122" s="68">
        <f>O121+(M122-M121)/$M$3</f>
        <v>80.442566121926575</v>
      </c>
      <c r="P122" s="13">
        <f>1200*LN($S122/$R122)/LN(2)</f>
        <v>39.105137617561326</v>
      </c>
      <c r="Q122" s="6" t="s">
        <v>537</v>
      </c>
      <c r="R122" s="6">
        <f>3^8*5^4</f>
        <v>4100625</v>
      </c>
      <c r="S122" s="6">
        <f>2^22</f>
        <v>4194304</v>
      </c>
      <c r="T122" s="57">
        <f>$T125-T8</f>
        <v>39.171828256638364</v>
      </c>
      <c r="U122" s="57">
        <f>$T125-U8</f>
        <v>39.185880424032817</v>
      </c>
      <c r="V122" s="18"/>
      <c r="W122" s="18"/>
      <c r="X122" s="58"/>
    </row>
    <row r="123" spans="1:24" ht="13.5">
      <c r="A123" s="6"/>
      <c r="B123" s="6"/>
      <c r="C123" s="14"/>
      <c r="D123" s="6"/>
      <c r="E123" s="6"/>
      <c r="F123" s="6"/>
      <c r="G123" s="1"/>
      <c r="H123" s="1"/>
      <c r="I123" s="1"/>
      <c r="J123" s="72">
        <f t="shared" si="12"/>
        <v>39.27743771521807</v>
      </c>
      <c r="K123" s="4" t="s">
        <v>156</v>
      </c>
      <c r="L123" s="1">
        <f t="shared" si="13"/>
        <v>81</v>
      </c>
      <c r="M123" s="9">
        <f>(O123+O121)/2*M$3</f>
        <v>39.27743771521807</v>
      </c>
      <c r="N123" s="4" t="s">
        <v>156</v>
      </c>
      <c r="O123" s="1">
        <f>O121+1</f>
        <v>81</v>
      </c>
      <c r="P123" s="13">
        <f>1200*LN($S123/$R123)/LN(2)</f>
        <v>39.328489396807768</v>
      </c>
      <c r="Q123" s="23" t="s">
        <v>371</v>
      </c>
      <c r="R123" s="23">
        <f>7*11*13</f>
        <v>1001</v>
      </c>
      <c r="S123" s="23">
        <f>2^10</f>
        <v>1024</v>
      </c>
      <c r="T123" s="19">
        <f>$T121+T6</f>
        <v>39.32848939680774</v>
      </c>
      <c r="U123" s="19">
        <f>$T121+U6</f>
        <v>39.301529101605304</v>
      </c>
      <c r="V123" s="18" t="str">
        <f>IF(T124&lt;$M123,"low",IF(T124&gt;$M125,"high",""))</f>
        <v/>
      </c>
      <c r="W123" s="18" t="str">
        <f>IF(U124=0,"",IF(U124&lt;$M123,"low",IF(U124&gt;$M125,"high","")))</f>
        <v/>
      </c>
      <c r="X123" s="58" t="str">
        <f>IF(ABS(T124-T121)&lt;10^-10,"same","")</f>
        <v/>
      </c>
    </row>
    <row r="124" spans="1:24" ht="13.5">
      <c r="A124" s="6"/>
      <c r="B124" s="6"/>
      <c r="C124" s="14"/>
      <c r="D124" s="6"/>
      <c r="E124" s="6"/>
      <c r="F124" s="6"/>
      <c r="G124" s="1"/>
      <c r="H124" s="1"/>
      <c r="I124" s="1"/>
      <c r="J124" s="72"/>
      <c r="K124" s="4"/>
      <c r="L124" s="1"/>
      <c r="M124" s="9">
        <f>(P123+P124)/2</f>
        <v>39.481524930886266</v>
      </c>
      <c r="N124" s="4" t="s">
        <v>2098</v>
      </c>
      <c r="O124" s="68">
        <f>O123+(M124-M123)/$M$3</f>
        <v>81.41828138027762</v>
      </c>
      <c r="P124" s="13">
        <f>1200*LN($S124/$R124)/LN(2)</f>
        <v>39.634560464964757</v>
      </c>
      <c r="Q124" s="23" t="s">
        <v>316</v>
      </c>
      <c r="R124" s="23">
        <f>5^2*19</f>
        <v>475</v>
      </c>
      <c r="S124" s="23">
        <f>2*3^5</f>
        <v>486</v>
      </c>
      <c r="T124" s="57">
        <f>$T125-T6</f>
        <v>39.581636294785135</v>
      </c>
      <c r="U124" s="57">
        <f>$T125-U6</f>
        <v>39.60859658998757</v>
      </c>
      <c r="V124" s="18"/>
      <c r="W124" s="18"/>
      <c r="X124" s="58"/>
    </row>
    <row r="125" spans="1:24" ht="13.5">
      <c r="A125" s="6"/>
      <c r="B125" s="6"/>
      <c r="C125" s="14"/>
      <c r="D125" s="6">
        <f>$M125</f>
        <v>39.765356196152453</v>
      </c>
      <c r="E125" s="4" t="s">
        <v>157</v>
      </c>
      <c r="F125" s="6">
        <v>17</v>
      </c>
      <c r="G125" s="6">
        <f>$M125</f>
        <v>39.765356196152453</v>
      </c>
      <c r="H125" s="4" t="str">
        <f>IF($H$2="N","(|(",IF($H$2="Y","~|\","~|\"))</f>
        <v>~|\</v>
      </c>
      <c r="I125" s="1">
        <f>IF($H$2="N",20,IF($H$2="Y",20.8,20.8))</f>
        <v>20.8</v>
      </c>
      <c r="J125" s="72">
        <f t="shared" ref="J125:J193" si="32">M125</f>
        <v>39.765356196152453</v>
      </c>
      <c r="K125" s="4" t="s">
        <v>157</v>
      </c>
      <c r="L125" s="1">
        <f t="shared" ref="L125:L193" si="33">O125</f>
        <v>82</v>
      </c>
      <c r="M125" s="9">
        <f>(O125+O123)/2*M$3</f>
        <v>39.765356196152453</v>
      </c>
      <c r="N125" s="4" t="s">
        <v>157</v>
      </c>
      <c r="O125" s="1">
        <f>O123+1</f>
        <v>82</v>
      </c>
      <c r="P125" s="11">
        <f t="shared" ref="P125:P139" si="34">1200*LN($S125/$R125)/LN(2)</f>
        <v>40.004352460739959</v>
      </c>
      <c r="Q125" s="12" t="s">
        <v>158</v>
      </c>
      <c r="R125" s="12">
        <f>2^14</f>
        <v>16384</v>
      </c>
      <c r="S125" s="12">
        <f>3^6*23</f>
        <v>16767</v>
      </c>
      <c r="T125" s="57">
        <f>P125</f>
        <v>40.004352460739959</v>
      </c>
      <c r="U125" s="19"/>
      <c r="V125" s="18" t="str">
        <f t="shared" si="24"/>
        <v/>
      </c>
      <c r="W125" s="18" t="str">
        <f t="shared" si="25"/>
        <v/>
      </c>
      <c r="X125" s="58" t="str">
        <f>IF(ABS(T125-T124)&lt;10^-10,"same","")</f>
        <v/>
      </c>
    </row>
    <row r="126" spans="1:24" ht="13.5">
      <c r="A126" s="6">
        <f>$M126</f>
        <v>40.253274677086843</v>
      </c>
      <c r="B126" s="4" t="s">
        <v>169</v>
      </c>
      <c r="C126" s="14">
        <v>8</v>
      </c>
      <c r="D126" s="6"/>
      <c r="E126" s="6"/>
      <c r="F126" s="6"/>
      <c r="G126" s="6">
        <f>$M126</f>
        <v>40.253274677086843</v>
      </c>
      <c r="H126" s="4" t="s">
        <v>161</v>
      </c>
      <c r="I126" s="1">
        <v>21</v>
      </c>
      <c r="J126" s="72">
        <f t="shared" si="32"/>
        <v>40.253274677086843</v>
      </c>
      <c r="K126" s="4" t="s">
        <v>159</v>
      </c>
      <c r="L126" s="1">
        <f t="shared" si="33"/>
        <v>83</v>
      </c>
      <c r="M126" s="9">
        <f>(O126+O125)/2*M$3</f>
        <v>40.253274677086843</v>
      </c>
      <c r="N126" s="70" t="s">
        <v>1977</v>
      </c>
      <c r="O126" s="1">
        <f>O125+1</f>
        <v>83</v>
      </c>
      <c r="P126" s="13">
        <f t="shared" si="34"/>
        <v>40.330071171383636</v>
      </c>
      <c r="Q126" s="14" t="s">
        <v>160</v>
      </c>
      <c r="R126" s="14">
        <f>3^3*11</f>
        <v>297</v>
      </c>
      <c r="S126" s="22">
        <f>2^4*19</f>
        <v>304</v>
      </c>
      <c r="T126" s="69">
        <f>$T121+$T10-T6</f>
        <v>40.43677785283225</v>
      </c>
      <c r="U126" s="69">
        <f>$T121+$T10-U6</f>
        <v>40.463738148034686</v>
      </c>
      <c r="V126" s="18" t="str">
        <f t="shared" si="24"/>
        <v/>
      </c>
      <c r="W126" s="18" t="str">
        <f t="shared" si="25"/>
        <v/>
      </c>
      <c r="X126" s="58" t="str">
        <f t="shared" si="26"/>
        <v/>
      </c>
    </row>
    <row r="127" spans="1:24" ht="13.5">
      <c r="A127" s="6"/>
      <c r="B127" s="4"/>
      <c r="C127" s="14"/>
      <c r="D127" s="6"/>
      <c r="E127" s="6"/>
      <c r="F127" s="6"/>
      <c r="G127" s="6"/>
      <c r="H127" s="4"/>
      <c r="I127" s="1"/>
      <c r="J127" s="72"/>
      <c r="K127" s="4"/>
      <c r="L127" s="1"/>
      <c r="M127" s="9">
        <f>(P126+P127)/2</f>
        <v>40.483106705462127</v>
      </c>
      <c r="N127" s="4" t="s">
        <v>159</v>
      </c>
      <c r="O127" s="68">
        <f>O126+(M127-M126)/$M$3</f>
        <v>83.471045958200122</v>
      </c>
      <c r="P127" s="13">
        <f>1200*LN($S127/$R127)/LN(2)</f>
        <v>40.636142239540618</v>
      </c>
      <c r="Q127" s="6" t="s">
        <v>560</v>
      </c>
      <c r="R127" s="6">
        <f>2^5*5^2</f>
        <v>800</v>
      </c>
      <c r="S127" s="6">
        <f>3^2*7*13</f>
        <v>819</v>
      </c>
      <c r="T127" s="57">
        <f>$T133-$T10-T6</f>
        <v>40.636142239540703</v>
      </c>
      <c r="U127" s="57">
        <f>$T133-$T10-U6</f>
        <v>40.663102534743139</v>
      </c>
      <c r="V127" s="18" t="str">
        <f t="shared" ref="V127:V132" si="35">IF(T127&lt;$M127,"low",IF(T127&gt;$M128,"high",""))</f>
        <v/>
      </c>
      <c r="W127" s="18" t="str">
        <f t="shared" ref="W127:W132" si="36">IF(U127=0,"",IF(U127&lt;$M127,"low",IF(U127&gt;$M128,"high","")))</f>
        <v/>
      </c>
      <c r="X127" s="58" t="str">
        <f t="shared" ref="X127:X132" si="37">IF(ABS(T127-T126)&lt;10^-10,"same","")</f>
        <v/>
      </c>
    </row>
    <row r="128" spans="1:24" ht="13.5">
      <c r="A128" s="6"/>
      <c r="B128" s="6"/>
      <c r="C128" s="14"/>
      <c r="D128" s="6"/>
      <c r="E128" s="6"/>
      <c r="F128" s="6"/>
      <c r="G128" s="1"/>
      <c r="H128" s="1"/>
      <c r="I128" s="1"/>
      <c r="J128" s="72">
        <f t="shared" si="32"/>
        <v>40.741193158021225</v>
      </c>
      <c r="K128" s="4" t="s">
        <v>161</v>
      </c>
      <c r="L128" s="1">
        <f t="shared" si="33"/>
        <v>84</v>
      </c>
      <c r="M128" s="9">
        <f>(O128+O126)/2*M$3</f>
        <v>40.741193158021225</v>
      </c>
      <c r="N128" s="100" t="s">
        <v>1978</v>
      </c>
      <c r="O128" s="1">
        <f>O126+1</f>
        <v>84</v>
      </c>
      <c r="P128" s="11">
        <f>1200*LN($S128/$R128)/LN(2)</f>
        <v>40.85949401878721</v>
      </c>
      <c r="Q128" s="12" t="s">
        <v>295</v>
      </c>
      <c r="R128" s="12">
        <f>2^17*11</f>
        <v>1441792</v>
      </c>
      <c r="S128" s="12">
        <f>3^10*5^2</f>
        <v>1476225</v>
      </c>
      <c r="T128" s="69">
        <f>$T121+$T10</f>
        <v>40.859494018787075</v>
      </c>
      <c r="V128" s="18" t="str">
        <f t="shared" si="35"/>
        <v/>
      </c>
      <c r="W128" s="18" t="str">
        <f t="shared" si="36"/>
        <v/>
      </c>
      <c r="X128" s="58" t="str">
        <f t="shared" si="37"/>
        <v/>
      </c>
    </row>
    <row r="129" spans="1:24" ht="13.5">
      <c r="A129" s="6"/>
      <c r="B129" s="6"/>
      <c r="C129" s="14"/>
      <c r="D129" s="6"/>
      <c r="E129" s="6"/>
      <c r="F129" s="6"/>
      <c r="G129" s="1"/>
      <c r="H129" s="1"/>
      <c r="I129" s="1"/>
      <c r="J129" s="72"/>
      <c r="K129" s="4"/>
      <c r="L129" s="68"/>
      <c r="M129" s="9">
        <f>(P128+P129)/2</f>
        <v>40.959176212141401</v>
      </c>
      <c r="N129" s="4" t="s">
        <v>161</v>
      </c>
      <c r="O129" s="68">
        <f>O128+(M129-M128)/$M$3</f>
        <v>84.446761216551437</v>
      </c>
      <c r="P129" s="11">
        <f>1200*LN($S129/$R129)/LN(2)</f>
        <v>41.058858405495592</v>
      </c>
      <c r="Q129" s="12" t="s">
        <v>162</v>
      </c>
      <c r="R129" s="12">
        <f>5^3</f>
        <v>125</v>
      </c>
      <c r="S129" s="15">
        <f>2^7</f>
        <v>128</v>
      </c>
      <c r="T129" s="57">
        <f>$T133-$T10</f>
        <v>41.058858405495528</v>
      </c>
      <c r="V129" s="18" t="str">
        <f t="shared" si="35"/>
        <v/>
      </c>
      <c r="W129" s="18" t="str">
        <f t="shared" si="36"/>
        <v/>
      </c>
      <c r="X129" s="58" t="str">
        <f t="shared" si="37"/>
        <v/>
      </c>
    </row>
    <row r="130" spans="1:24" ht="13.5">
      <c r="A130" s="6"/>
      <c r="B130" s="6"/>
      <c r="C130" s="14"/>
      <c r="D130" s="6"/>
      <c r="E130" s="6"/>
      <c r="F130" s="6"/>
      <c r="G130" s="1"/>
      <c r="H130" s="1"/>
      <c r="I130" s="1"/>
      <c r="J130" s="72">
        <f t="shared" si="32"/>
        <v>41.229111638955615</v>
      </c>
      <c r="K130" s="4" t="s">
        <v>163</v>
      </c>
      <c r="L130" s="1">
        <f t="shared" si="33"/>
        <v>85</v>
      </c>
      <c r="M130" s="9">
        <f>(O130+O128)/2*M$3</f>
        <v>41.229111638955615</v>
      </c>
      <c r="N130" s="4" t="s">
        <v>163</v>
      </c>
      <c r="O130" s="1">
        <f>O128+1</f>
        <v>85</v>
      </c>
      <c r="P130" s="11">
        <f t="shared" si="34"/>
        <v>41.454614276247781</v>
      </c>
      <c r="Q130" s="12" t="s">
        <v>164</v>
      </c>
      <c r="R130" s="12">
        <f>3^7</f>
        <v>2187</v>
      </c>
      <c r="S130" s="12">
        <f>2^6*5*7</f>
        <v>2240</v>
      </c>
      <c r="T130" s="57">
        <f>$T133-$T10+T6</f>
        <v>41.481574571450352</v>
      </c>
      <c r="U130" s="57">
        <f>$T133-$T10+U6</f>
        <v>41.454614276247916</v>
      </c>
      <c r="V130" s="18" t="str">
        <f t="shared" si="35"/>
        <v/>
      </c>
      <c r="W130" s="18" t="str">
        <f t="shared" si="36"/>
        <v/>
      </c>
      <c r="X130" s="58" t="str">
        <f t="shared" si="37"/>
        <v/>
      </c>
    </row>
    <row r="131" spans="1:24" ht="13.5">
      <c r="A131" s="6"/>
      <c r="B131" s="6"/>
      <c r="C131" s="14"/>
      <c r="D131" s="6">
        <f>$M131</f>
        <v>41.717030119889998</v>
      </c>
      <c r="E131" s="4" t="s">
        <v>169</v>
      </c>
      <c r="F131" s="6">
        <v>18</v>
      </c>
      <c r="G131" s="6">
        <f>$M131</f>
        <v>41.717030119889998</v>
      </c>
      <c r="H131" s="4" t="s">
        <v>169</v>
      </c>
      <c r="I131" s="1">
        <v>22</v>
      </c>
      <c r="J131" s="72">
        <f t="shared" si="32"/>
        <v>41.717030119889998</v>
      </c>
      <c r="K131" s="4" t="s">
        <v>165</v>
      </c>
      <c r="L131" s="1">
        <f t="shared" si="33"/>
        <v>86</v>
      </c>
      <c r="M131" s="9">
        <f t="shared" ref="M131:M146" si="38">(O131+O130)/2*M$3</f>
        <v>41.717030119889998</v>
      </c>
      <c r="N131" s="4" t="s">
        <v>165</v>
      </c>
      <c r="O131" s="1">
        <f t="shared" ref="O131:O146" si="39">O130+1</f>
        <v>86</v>
      </c>
      <c r="P131" s="13">
        <f t="shared" si="34"/>
        <v>41.994505627444561</v>
      </c>
      <c r="Q131" s="130" t="s">
        <v>166</v>
      </c>
      <c r="R131" s="130">
        <f>2^6*7</f>
        <v>448</v>
      </c>
      <c r="S131" s="131">
        <f>3^3*17</f>
        <v>459</v>
      </c>
      <c r="T131" s="57">
        <f>$T133-T8</f>
        <v>42.180054989328092</v>
      </c>
      <c r="U131" s="57">
        <f>$T133-U8</f>
        <v>42.194107156722545</v>
      </c>
      <c r="V131" s="18" t="str">
        <f t="shared" si="35"/>
        <v/>
      </c>
      <c r="W131" s="18" t="str">
        <f t="shared" si="36"/>
        <v/>
      </c>
      <c r="X131" s="58" t="str">
        <f t="shared" si="37"/>
        <v/>
      </c>
    </row>
    <row r="132" spans="1:24" ht="13.5">
      <c r="A132" s="6"/>
      <c r="B132" s="6"/>
      <c r="C132" s="14"/>
      <c r="D132" s="6"/>
      <c r="E132" s="6"/>
      <c r="F132" s="6"/>
      <c r="G132" s="1"/>
      <c r="H132" s="1"/>
      <c r="I132" s="1"/>
      <c r="J132" s="72">
        <f t="shared" si="32"/>
        <v>42.204948600824387</v>
      </c>
      <c r="K132" s="4" t="s">
        <v>167</v>
      </c>
      <c r="L132" s="1">
        <f t="shared" si="33"/>
        <v>87</v>
      </c>
      <c r="M132" s="9">
        <f t="shared" si="38"/>
        <v>42.204948600824387</v>
      </c>
      <c r="N132" s="4" t="s">
        <v>167</v>
      </c>
      <c r="O132" s="1">
        <f t="shared" si="39"/>
        <v>87</v>
      </c>
      <c r="P132" s="13">
        <f>1200*LN($S132/$R132)/LN(2)</f>
        <v>42.589863027474955</v>
      </c>
      <c r="Q132" s="23" t="s">
        <v>447</v>
      </c>
      <c r="R132" s="23">
        <f>2^20*5</f>
        <v>5242880</v>
      </c>
      <c r="S132" s="23">
        <f>3^10*7*13</f>
        <v>5373459</v>
      </c>
      <c r="T132" s="57">
        <f>$T133-T6</f>
        <v>42.589863027474863</v>
      </c>
      <c r="U132" s="57">
        <f>$T133-U6</f>
        <v>42.616823322677298</v>
      </c>
      <c r="V132" s="18" t="str">
        <f t="shared" si="35"/>
        <v/>
      </c>
      <c r="W132" s="18" t="str">
        <f t="shared" si="36"/>
        <v/>
      </c>
      <c r="X132" s="58" t="str">
        <f t="shared" si="37"/>
        <v/>
      </c>
    </row>
    <row r="133" spans="1:24" ht="13.5">
      <c r="A133" s="6"/>
      <c r="B133" s="6"/>
      <c r="C133" s="14"/>
      <c r="D133" s="6"/>
      <c r="E133" s="6"/>
      <c r="F133" s="6"/>
      <c r="G133" s="1"/>
      <c r="H133" s="1"/>
      <c r="I133" s="1"/>
      <c r="J133" s="72">
        <f t="shared" si="32"/>
        <v>42.69286708175877</v>
      </c>
      <c r="K133" s="4" t="s">
        <v>169</v>
      </c>
      <c r="L133" s="1">
        <f t="shared" si="33"/>
        <v>88</v>
      </c>
      <c r="M133" s="9">
        <f t="shared" si="38"/>
        <v>42.69286708175877</v>
      </c>
      <c r="N133" s="4" t="s">
        <v>169</v>
      </c>
      <c r="O133" s="1">
        <f t="shared" si="39"/>
        <v>88</v>
      </c>
      <c r="P133" s="11">
        <f>1200*LN($S133/$R133)/LN(2)</f>
        <v>43.012579193429687</v>
      </c>
      <c r="Q133" s="12" t="s">
        <v>170</v>
      </c>
      <c r="R133" s="12">
        <f>5^2*2^8</f>
        <v>6400</v>
      </c>
      <c r="S133" s="12">
        <f>3^8</f>
        <v>6561</v>
      </c>
      <c r="T133" s="57">
        <f>P133</f>
        <v>43.012579193429687</v>
      </c>
      <c r="V133" s="18" t="str">
        <f t="shared" ref="V133:V160" si="40">IF(T133&lt;$M133,"low",IF(T133&gt;$M134,"high",""))</f>
        <v/>
      </c>
      <c r="W133" s="18" t="str">
        <f t="shared" ref="W133:W160" si="41">IF(U133=0,"",IF(U133&lt;$M133,"low",IF(U133&gt;$M134,"high","")))</f>
        <v/>
      </c>
      <c r="X133" s="58" t="str">
        <f t="shared" ref="X133:X160" si="42">IF(ABS(T133-T132)&lt;10^-10,"same","")</f>
        <v/>
      </c>
    </row>
    <row r="134" spans="1:24" ht="13.5">
      <c r="A134" s="6"/>
      <c r="B134" s="6"/>
      <c r="C134" s="14"/>
      <c r="D134" s="6"/>
      <c r="E134" s="6"/>
      <c r="F134" s="6"/>
      <c r="G134" s="1"/>
      <c r="H134" s="1"/>
      <c r="I134" s="1"/>
      <c r="J134" s="72">
        <f t="shared" si="32"/>
        <v>43.180785562693153</v>
      </c>
      <c r="K134" s="4" t="s">
        <v>171</v>
      </c>
      <c r="L134" s="1">
        <f t="shared" si="33"/>
        <v>89</v>
      </c>
      <c r="M134" s="9">
        <f t="shared" si="38"/>
        <v>43.180785562693153</v>
      </c>
      <c r="N134" s="4" t="s">
        <v>171</v>
      </c>
      <c r="O134" s="1">
        <f t="shared" si="39"/>
        <v>89</v>
      </c>
      <c r="P134" s="13">
        <f t="shared" si="34"/>
        <v>43.408335064181976</v>
      </c>
      <c r="Q134" s="6" t="s">
        <v>172</v>
      </c>
      <c r="R134" s="6">
        <f>2^9</f>
        <v>512</v>
      </c>
      <c r="S134" s="6">
        <f>3*5^2*7</f>
        <v>525</v>
      </c>
      <c r="T134" s="57">
        <f>$T133+T6</f>
        <v>43.435295359384511</v>
      </c>
      <c r="U134" s="57">
        <f>$T133+U6</f>
        <v>43.408335064182076</v>
      </c>
      <c r="V134" s="18" t="str">
        <f t="shared" si="40"/>
        <v/>
      </c>
      <c r="W134" s="18" t="str">
        <f t="shared" si="41"/>
        <v/>
      </c>
      <c r="X134" s="58" t="str">
        <f t="shared" si="42"/>
        <v/>
      </c>
    </row>
    <row r="135" spans="1:24" ht="13.5">
      <c r="A135" s="6"/>
      <c r="B135" s="6"/>
      <c r="C135" s="14"/>
      <c r="D135" s="6"/>
      <c r="E135" s="6"/>
      <c r="F135" s="6"/>
      <c r="G135" s="1"/>
      <c r="H135" s="1"/>
      <c r="I135" s="1"/>
      <c r="J135" s="72">
        <f t="shared" si="32"/>
        <v>43.668704043627542</v>
      </c>
      <c r="K135" s="4" t="s">
        <v>174</v>
      </c>
      <c r="L135" s="1">
        <f t="shared" si="33"/>
        <v>90</v>
      </c>
      <c r="M135" s="9">
        <f t="shared" si="38"/>
        <v>43.668704043627542</v>
      </c>
      <c r="N135" s="4" t="s">
        <v>174</v>
      </c>
      <c r="O135" s="1">
        <f t="shared" si="39"/>
        <v>90</v>
      </c>
      <c r="P135" s="11">
        <f t="shared" si="34"/>
        <v>43.831051230136659</v>
      </c>
      <c r="Q135" s="12" t="s">
        <v>175</v>
      </c>
      <c r="R135" s="12">
        <f>3*13</f>
        <v>39</v>
      </c>
      <c r="S135" s="12">
        <f>2^3*5</f>
        <v>40</v>
      </c>
      <c r="T135" s="57">
        <f>$T133+T8</f>
        <v>43.845103397531282</v>
      </c>
      <c r="U135" s="57">
        <f>$T133+U8</f>
        <v>43.831051230136829</v>
      </c>
      <c r="V135" s="18" t="str">
        <f t="shared" si="40"/>
        <v/>
      </c>
      <c r="W135" s="18" t="str">
        <f t="shared" si="41"/>
        <v/>
      </c>
      <c r="X135" s="58" t="str">
        <f t="shared" si="42"/>
        <v/>
      </c>
    </row>
    <row r="136" spans="1:24" ht="13.5">
      <c r="A136" s="6"/>
      <c r="B136" s="6"/>
      <c r="C136" s="14"/>
      <c r="D136" s="6"/>
      <c r="E136" s="6"/>
      <c r="F136" s="6"/>
      <c r="G136" s="6">
        <f>$M136</f>
        <v>44.156622524561925</v>
      </c>
      <c r="H136" s="10" t="s">
        <v>178</v>
      </c>
      <c r="I136" s="1">
        <v>23</v>
      </c>
      <c r="J136" s="72">
        <f t="shared" si="32"/>
        <v>44.156622524561925</v>
      </c>
      <c r="K136" s="10" t="s">
        <v>176</v>
      </c>
      <c r="L136" s="1">
        <f t="shared" si="33"/>
        <v>91</v>
      </c>
      <c r="M136" s="9">
        <f t="shared" si="38"/>
        <v>44.156622524561925</v>
      </c>
      <c r="N136" s="100" t="s">
        <v>176</v>
      </c>
      <c r="O136" s="1">
        <f t="shared" si="39"/>
        <v>91</v>
      </c>
      <c r="P136" s="13">
        <f t="shared" si="34"/>
        <v>44.426408630166897</v>
      </c>
      <c r="Q136" s="6" t="s">
        <v>674</v>
      </c>
      <c r="R136" s="6">
        <f>2^11*17</f>
        <v>34816</v>
      </c>
      <c r="S136" s="6">
        <f>3^6*7^2</f>
        <v>35721</v>
      </c>
      <c r="T136" s="57">
        <f>$T133+$T10-T6</f>
        <v>44.543583815409022</v>
      </c>
      <c r="U136" s="57">
        <f>$T133+$T10-U6</f>
        <v>44.570544110611458</v>
      </c>
      <c r="V136" s="18" t="str">
        <f t="shared" si="40"/>
        <v/>
      </c>
      <c r="W136" s="18" t="str">
        <f t="shared" si="41"/>
        <v/>
      </c>
      <c r="X136" s="58" t="str">
        <f t="shared" si="42"/>
        <v/>
      </c>
    </row>
    <row r="137" spans="1:24" ht="13.5">
      <c r="A137" s="6"/>
      <c r="B137" s="6"/>
      <c r="C137" s="14"/>
      <c r="D137" s="6">
        <f>$M137</f>
        <v>44.644541005496315</v>
      </c>
      <c r="E137" s="4" t="s">
        <v>1785</v>
      </c>
      <c r="F137" s="6">
        <v>19</v>
      </c>
      <c r="G137" s="1"/>
      <c r="H137" s="1"/>
      <c r="I137" s="1"/>
      <c r="J137" s="72">
        <f t="shared" si="32"/>
        <v>44.644541005496315</v>
      </c>
      <c r="K137" s="10" t="s">
        <v>178</v>
      </c>
      <c r="L137" s="1">
        <f t="shared" si="33"/>
        <v>92</v>
      </c>
      <c r="M137" s="9">
        <f t="shared" si="38"/>
        <v>44.644541005496315</v>
      </c>
      <c r="N137" s="10" t="s">
        <v>178</v>
      </c>
      <c r="O137" s="1">
        <f t="shared" si="39"/>
        <v>92</v>
      </c>
      <c r="P137" s="11">
        <f>1200*LN($S137/$R137)/LN(2)</f>
        <v>44.969646502395555</v>
      </c>
      <c r="Q137" s="12" t="s">
        <v>179</v>
      </c>
      <c r="R137" s="12">
        <f>2*19</f>
        <v>38</v>
      </c>
      <c r="S137" s="12">
        <f>3*13</f>
        <v>39</v>
      </c>
      <c r="T137" s="57">
        <f>$T133+$T10</f>
        <v>44.966299981363846</v>
      </c>
      <c r="V137" s="18" t="str">
        <f t="shared" si="40"/>
        <v/>
      </c>
      <c r="W137" s="18" t="str">
        <f t="shared" si="41"/>
        <v/>
      </c>
      <c r="X137" s="58" t="str">
        <f t="shared" si="42"/>
        <v/>
      </c>
    </row>
    <row r="138" spans="1:24" ht="13.5">
      <c r="A138" s="6"/>
      <c r="B138" s="6"/>
      <c r="C138" s="14"/>
      <c r="D138" s="6"/>
      <c r="E138" s="6"/>
      <c r="F138" s="6"/>
      <c r="G138" s="1"/>
      <c r="H138" s="1"/>
      <c r="I138" s="1"/>
      <c r="J138" s="72">
        <f t="shared" si="32"/>
        <v>45.132459486430697</v>
      </c>
      <c r="K138" s="10" t="s">
        <v>180</v>
      </c>
      <c r="L138" s="1">
        <f t="shared" si="33"/>
        <v>93</v>
      </c>
      <c r="M138" s="9">
        <f t="shared" si="38"/>
        <v>45.132459486430697</v>
      </c>
      <c r="N138" s="10" t="s">
        <v>180</v>
      </c>
      <c r="O138" s="1">
        <f t="shared" si="39"/>
        <v>93</v>
      </c>
      <c r="P138" s="13">
        <f>1200*LN($S138/$R138)/LN(2)</f>
        <v>45.561420238824496</v>
      </c>
      <c r="Q138" s="23" t="s">
        <v>181</v>
      </c>
      <c r="R138" s="23">
        <f>3*5^2</f>
        <v>75</v>
      </c>
      <c r="S138" s="23">
        <f>7*11</f>
        <v>77</v>
      </c>
      <c r="T138" s="57">
        <f>$T133+$T10+T6</f>
        <v>45.389016147318671</v>
      </c>
      <c r="U138" s="57">
        <f>$T133+$T10+U6</f>
        <v>45.362055852116235</v>
      </c>
      <c r="V138" s="18" t="str">
        <f>IF(T138&lt;$M138,"low",IF(T138&gt;$M139,"high",""))</f>
        <v/>
      </c>
      <c r="W138" s="18" t="str">
        <f>IF(U138=0,"",IF(U138&lt;$M138,"low",IF(U138&gt;$M139,"high","")))</f>
        <v/>
      </c>
      <c r="X138" s="58" t="str">
        <f>IF(ABS(T138-T137)&lt;10^-10,"same","")</f>
        <v/>
      </c>
    </row>
    <row r="139" spans="1:24" ht="13.5">
      <c r="A139" s="6">
        <f>$M139</f>
        <v>45.620377967365087</v>
      </c>
      <c r="B139" s="4" t="s">
        <v>191</v>
      </c>
      <c r="C139" s="14">
        <v>9</v>
      </c>
      <c r="D139" s="6"/>
      <c r="E139" s="6"/>
      <c r="F139" s="6"/>
      <c r="G139" s="6">
        <f>$M139</f>
        <v>45.620377967365087</v>
      </c>
      <c r="H139" s="4" t="s">
        <v>1785</v>
      </c>
      <c r="I139" s="1">
        <v>24</v>
      </c>
      <c r="J139" s="72">
        <f t="shared" si="32"/>
        <v>45.620377967365087</v>
      </c>
      <c r="K139" s="4" t="s">
        <v>1792</v>
      </c>
      <c r="L139" s="1">
        <f t="shared" si="33"/>
        <v>94</v>
      </c>
      <c r="M139" s="9">
        <f>(O139+O138)/2*M$3</f>
        <v>45.620377967365087</v>
      </c>
      <c r="N139" s="4" t="s">
        <v>1792</v>
      </c>
      <c r="O139" s="1">
        <f>O138+1</f>
        <v>94</v>
      </c>
      <c r="P139" s="13">
        <f t="shared" si="34"/>
        <v>45.784772018070854</v>
      </c>
      <c r="Q139" s="6" t="s">
        <v>183</v>
      </c>
      <c r="R139" s="6">
        <f>2^12*13</f>
        <v>53248</v>
      </c>
      <c r="S139" s="6">
        <f>3^7*5^2</f>
        <v>54675</v>
      </c>
      <c r="T139" s="57">
        <f>$T140-T6</f>
        <v>45.971228276971409</v>
      </c>
      <c r="U139" s="57">
        <f>$T140-U6</f>
        <v>45.998188572173845</v>
      </c>
      <c r="V139" s="18" t="str">
        <f>IF(T139&lt;$M139,"low",IF(T139&gt;$M140,"high",""))</f>
        <v/>
      </c>
      <c r="W139" s="18" t="str">
        <f>IF(U139=0,"",IF(U139&lt;$M139,"low",IF(U139&gt;$M140,"high","")))</f>
        <v/>
      </c>
      <c r="X139" s="58" t="str">
        <f>IF(ABS(T139-T138)&lt;10^-10,"same","")</f>
        <v/>
      </c>
    </row>
    <row r="140" spans="1:24" ht="13.5">
      <c r="A140" s="6"/>
      <c r="B140" s="4"/>
      <c r="C140" s="14"/>
      <c r="D140" s="6"/>
      <c r="E140" s="6"/>
      <c r="F140" s="6"/>
      <c r="G140" s="6"/>
      <c r="H140" s="4"/>
      <c r="I140" s="1"/>
      <c r="J140" s="72">
        <f t="shared" si="32"/>
        <v>46.10829644829947</v>
      </c>
      <c r="K140" s="4" t="s">
        <v>1785</v>
      </c>
      <c r="L140" s="1">
        <f t="shared" si="33"/>
        <v>95</v>
      </c>
      <c r="M140" s="9">
        <f t="shared" si="38"/>
        <v>46.10829644829947</v>
      </c>
      <c r="N140" s="4" t="s">
        <v>1785</v>
      </c>
      <c r="O140" s="1">
        <f t="shared" si="39"/>
        <v>95</v>
      </c>
      <c r="P140" s="13">
        <f>1200*LN($S140/$R140)/LN(2)</f>
        <v>46.393944442926234</v>
      </c>
      <c r="Q140" s="6" t="s">
        <v>184</v>
      </c>
      <c r="R140" s="14">
        <f>3^4*5</f>
        <v>405</v>
      </c>
      <c r="S140" s="14">
        <f>2^5*13</f>
        <v>416</v>
      </c>
      <c r="T140" s="57">
        <f>P140</f>
        <v>46.393944442926234</v>
      </c>
      <c r="V140" s="18" t="str">
        <f>IF(T140&lt;$M140,"low",IF(T140&gt;$M141,"high",""))</f>
        <v/>
      </c>
      <c r="W140" s="18" t="str">
        <f>IF(U140=0,"",IF(U140&lt;$M140,"low",IF(U140&gt;$M141,"high","")))</f>
        <v/>
      </c>
      <c r="X140" s="58" t="str">
        <f>IF(ABS(T140-T139)&lt;10^-10,"same","")</f>
        <v/>
      </c>
    </row>
    <row r="141" spans="1:24" ht="13.5">
      <c r="A141" s="6"/>
      <c r="B141" s="6"/>
      <c r="C141" s="14"/>
      <c r="D141" s="6"/>
      <c r="E141" s="6"/>
      <c r="F141" s="6"/>
      <c r="G141" s="6"/>
      <c r="H141" s="4"/>
      <c r="I141" s="1"/>
      <c r="J141" s="72">
        <f t="shared" si="32"/>
        <v>46.596214929233859</v>
      </c>
      <c r="K141" s="90" t="s">
        <v>1979</v>
      </c>
      <c r="L141" s="1">
        <f t="shared" si="33"/>
        <v>96</v>
      </c>
      <c r="M141" s="9">
        <f t="shared" si="38"/>
        <v>46.596214929233859</v>
      </c>
      <c r="N141" s="90" t="s">
        <v>1979</v>
      </c>
      <c r="O141" s="1">
        <f t="shared" si="39"/>
        <v>96</v>
      </c>
      <c r="P141" s="13">
        <f>1200*LN($S141/$R141)/LN(2)</f>
        <v>46.816660608881037</v>
      </c>
      <c r="Q141" s="21" t="s">
        <v>186</v>
      </c>
      <c r="R141" s="21">
        <f>3^6*5^2*7</f>
        <v>127575</v>
      </c>
      <c r="S141" s="21">
        <f>2^17</f>
        <v>131072</v>
      </c>
      <c r="T141" s="13">
        <f>$T140+T6</f>
        <v>46.816660608881058</v>
      </c>
      <c r="U141" s="13">
        <f>$T140+U6</f>
        <v>46.789700313678622</v>
      </c>
      <c r="V141" s="18" t="str">
        <f t="shared" si="40"/>
        <v/>
      </c>
      <c r="W141" s="18" t="str">
        <f t="shared" si="41"/>
        <v/>
      </c>
      <c r="X141" s="58" t="str">
        <f t="shared" si="42"/>
        <v/>
      </c>
    </row>
    <row r="142" spans="1:24" ht="13.5">
      <c r="A142" s="6"/>
      <c r="B142" s="6"/>
      <c r="C142" s="14"/>
      <c r="D142" s="6"/>
      <c r="E142" s="6"/>
      <c r="F142" s="6"/>
      <c r="G142" s="1"/>
      <c r="H142" s="1"/>
      <c r="I142" s="1"/>
      <c r="J142" s="72">
        <f t="shared" si="32"/>
        <v>47.084133410168242</v>
      </c>
      <c r="K142" s="90" t="s">
        <v>1980</v>
      </c>
      <c r="L142" s="1">
        <f t="shared" si="33"/>
        <v>97</v>
      </c>
      <c r="M142" s="9">
        <f t="shared" si="38"/>
        <v>47.084133410168242</v>
      </c>
      <c r="N142" s="90" t="s">
        <v>1980</v>
      </c>
      <c r="O142" s="1">
        <f t="shared" si="39"/>
        <v>97</v>
      </c>
      <c r="P142" s="13">
        <f>1200*LN($S142/$R142)/LN(2)</f>
        <v>47.434037023964734</v>
      </c>
      <c r="Q142" s="21" t="s">
        <v>187</v>
      </c>
      <c r="R142" s="21">
        <f>2^2*3^2</f>
        <v>36</v>
      </c>
      <c r="S142" s="21">
        <v>37</v>
      </c>
      <c r="T142" s="57">
        <f>$T140+T8</f>
        <v>47.226468647027829</v>
      </c>
      <c r="U142" s="57">
        <f>$T140+U8</f>
        <v>47.212416479633376</v>
      </c>
      <c r="V142" s="18" t="str">
        <f t="shared" si="40"/>
        <v/>
      </c>
      <c r="W142" s="18" t="str">
        <f t="shared" si="41"/>
        <v/>
      </c>
      <c r="X142" s="58" t="str">
        <f t="shared" si="42"/>
        <v/>
      </c>
    </row>
    <row r="143" spans="1:24" ht="13.5">
      <c r="A143" s="6"/>
      <c r="B143" s="6"/>
      <c r="C143" s="14"/>
      <c r="D143" s="6">
        <f>$M143</f>
        <v>47.572051891102632</v>
      </c>
      <c r="E143" s="4" t="s">
        <v>191</v>
      </c>
      <c r="F143" s="6">
        <v>20</v>
      </c>
      <c r="G143" s="6">
        <f>$M143</f>
        <v>47.572051891102632</v>
      </c>
      <c r="H143" s="4" t="s">
        <v>191</v>
      </c>
      <c r="I143" s="1">
        <v>25</v>
      </c>
      <c r="J143" s="72">
        <f t="shared" si="32"/>
        <v>47.572051891102632</v>
      </c>
      <c r="K143" s="4" t="s">
        <v>188</v>
      </c>
      <c r="L143" s="1">
        <f t="shared" si="33"/>
        <v>98</v>
      </c>
      <c r="M143" s="9">
        <f t="shared" si="38"/>
        <v>47.572051891102632</v>
      </c>
      <c r="N143" s="42" t="s">
        <v>188</v>
      </c>
      <c r="O143" s="1">
        <f t="shared" si="39"/>
        <v>98</v>
      </c>
      <c r="P143" s="13">
        <f>1200*LN($S143/$R143)/LN(2)</f>
        <v>47.937857192713629</v>
      </c>
      <c r="Q143" s="6" t="s">
        <v>1982</v>
      </c>
      <c r="R143" s="6">
        <f>2^3*5^2*7*13</f>
        <v>18200</v>
      </c>
      <c r="S143" s="25">
        <f>3^5*7*11</f>
        <v>18711</v>
      </c>
      <c r="T143" s="57">
        <f>$T145-T8</f>
        <v>47.937857192713324</v>
      </c>
      <c r="U143" s="57">
        <f>$T145-U8</f>
        <v>47.951909360107777</v>
      </c>
      <c r="V143" s="18" t="str">
        <f t="shared" si="40"/>
        <v/>
      </c>
      <c r="W143" s="18" t="str">
        <f t="shared" si="41"/>
        <v/>
      </c>
      <c r="X143" s="58" t="str">
        <f t="shared" si="42"/>
        <v/>
      </c>
    </row>
    <row r="144" spans="1:24" ht="13.5">
      <c r="A144" s="6"/>
      <c r="B144" s="6"/>
      <c r="C144" s="14"/>
      <c r="D144" s="6"/>
      <c r="E144" s="6"/>
      <c r="F144" s="6"/>
      <c r="G144" s="1"/>
      <c r="H144" s="1"/>
      <c r="I144" s="1"/>
      <c r="J144" s="72">
        <f t="shared" si="32"/>
        <v>48.059970372037014</v>
      </c>
      <c r="K144" s="4" t="s">
        <v>189</v>
      </c>
      <c r="L144" s="1">
        <f t="shared" si="33"/>
        <v>99</v>
      </c>
      <c r="M144" s="9">
        <f t="shared" si="38"/>
        <v>48.059970372037014</v>
      </c>
      <c r="N144" s="4" t="s">
        <v>189</v>
      </c>
      <c r="O144" s="1">
        <f t="shared" si="39"/>
        <v>99</v>
      </c>
      <c r="P144" s="11">
        <f t="shared" ref="P144:P156" si="43">1200*LN($S144/$R144)/LN(2)</f>
        <v>48.347665230860272</v>
      </c>
      <c r="Q144" s="12" t="s">
        <v>190</v>
      </c>
      <c r="R144" s="12">
        <f>2^10</f>
        <v>1024</v>
      </c>
      <c r="S144" s="12">
        <f>13*3^4</f>
        <v>1053</v>
      </c>
      <c r="T144" s="57">
        <f>$T145-T6</f>
        <v>48.347665230860095</v>
      </c>
      <c r="U144" s="99">
        <f>$T145-U6</f>
        <v>48.37462552606253</v>
      </c>
      <c r="V144" s="18" t="str">
        <f t="shared" si="40"/>
        <v/>
      </c>
      <c r="W144" s="18" t="str">
        <f t="shared" si="41"/>
        <v/>
      </c>
      <c r="X144" s="58" t="str">
        <f t="shared" si="42"/>
        <v/>
      </c>
    </row>
    <row r="145" spans="1:24" ht="13.5">
      <c r="A145" s="6"/>
      <c r="B145" s="6"/>
      <c r="C145" s="14"/>
      <c r="D145" s="6"/>
      <c r="E145" s="6"/>
      <c r="F145" s="6"/>
      <c r="G145" s="1"/>
      <c r="H145" s="1"/>
      <c r="I145" s="1"/>
      <c r="J145" s="72">
        <f t="shared" si="32"/>
        <v>48.547888852971404</v>
      </c>
      <c r="K145" s="4" t="s">
        <v>191</v>
      </c>
      <c r="L145" s="1">
        <f t="shared" si="33"/>
        <v>100</v>
      </c>
      <c r="M145" s="9">
        <f t="shared" si="38"/>
        <v>48.547888852971404</v>
      </c>
      <c r="N145" s="4" t="s">
        <v>191</v>
      </c>
      <c r="O145" s="1">
        <f t="shared" si="39"/>
        <v>100</v>
      </c>
      <c r="P145" s="11">
        <f t="shared" si="43"/>
        <v>48.770381396814919</v>
      </c>
      <c r="Q145" s="12" t="s">
        <v>192</v>
      </c>
      <c r="R145" s="12">
        <f>5*7</f>
        <v>35</v>
      </c>
      <c r="S145" s="12">
        <f>2^2*3^2</f>
        <v>36</v>
      </c>
      <c r="T145" s="57">
        <f>P145</f>
        <v>48.770381396814919</v>
      </c>
      <c r="V145" s="18" t="str">
        <f t="shared" si="40"/>
        <v/>
      </c>
      <c r="W145" s="18" t="str">
        <f t="shared" si="41"/>
        <v/>
      </c>
      <c r="X145" s="58" t="str">
        <f t="shared" si="42"/>
        <v/>
      </c>
    </row>
    <row r="146" spans="1:24" ht="13.5">
      <c r="A146" s="6"/>
      <c r="B146" s="6"/>
      <c r="C146" s="14"/>
      <c r="D146" s="6"/>
      <c r="E146" s="6"/>
      <c r="F146" s="6"/>
      <c r="G146" s="1"/>
      <c r="H146" s="1"/>
      <c r="I146" s="1"/>
      <c r="J146" s="72">
        <f t="shared" si="32"/>
        <v>49.035807333905787</v>
      </c>
      <c r="K146" s="4" t="s">
        <v>193</v>
      </c>
      <c r="L146" s="1">
        <f t="shared" si="33"/>
        <v>101</v>
      </c>
      <c r="M146" s="9">
        <f t="shared" si="38"/>
        <v>49.035807333905787</v>
      </c>
      <c r="N146" s="4" t="s">
        <v>193</v>
      </c>
      <c r="O146" s="1">
        <f t="shared" si="39"/>
        <v>101</v>
      </c>
      <c r="P146" s="11">
        <f t="shared" si="43"/>
        <v>49.166137267567329</v>
      </c>
      <c r="Q146" s="12" t="s">
        <v>194</v>
      </c>
      <c r="R146" s="12">
        <f>3^5</f>
        <v>243</v>
      </c>
      <c r="S146" s="12">
        <f>2*5^3</f>
        <v>250</v>
      </c>
      <c r="T146" s="57">
        <f>$T145+T6</f>
        <v>49.193097562769744</v>
      </c>
      <c r="U146" s="57">
        <f>$T145+U6</f>
        <v>49.166137267567308</v>
      </c>
      <c r="V146" s="18" t="str">
        <f t="shared" si="40"/>
        <v/>
      </c>
      <c r="W146" s="18" t="str">
        <f t="shared" si="41"/>
        <v/>
      </c>
      <c r="X146" s="58" t="str">
        <f t="shared" si="42"/>
        <v/>
      </c>
    </row>
    <row r="147" spans="1:24" ht="13.5">
      <c r="A147" s="6"/>
      <c r="B147" s="6"/>
      <c r="C147" s="14"/>
      <c r="D147" s="6"/>
      <c r="E147" s="6"/>
      <c r="F147" s="6"/>
      <c r="G147" s="1"/>
      <c r="H147" s="1"/>
      <c r="I147" s="1"/>
      <c r="J147" s="72"/>
      <c r="K147" s="4"/>
      <c r="L147" s="1"/>
      <c r="M147" s="9">
        <f>(P146+P147)/2</f>
        <v>49.328857972912473</v>
      </c>
      <c r="N147" s="42" t="s">
        <v>1983</v>
      </c>
      <c r="O147" s="68">
        <f>O146+(M147-M146)/$M$3</f>
        <v>101.60061393543749</v>
      </c>
      <c r="P147" s="13">
        <f t="shared" si="43"/>
        <v>49.491578678257611</v>
      </c>
      <c r="Q147" s="6" t="s">
        <v>319</v>
      </c>
      <c r="R147" s="6">
        <f>2^3*5^3</f>
        <v>1000</v>
      </c>
      <c r="S147" s="6">
        <f>3*7^3</f>
        <v>1029</v>
      </c>
      <c r="T147" s="57">
        <f>$T148-T6</f>
        <v>49.472208335724353</v>
      </c>
      <c r="U147" s="57">
        <f>$T148-U6</f>
        <v>49.499168630926789</v>
      </c>
      <c r="V147" s="18" t="str">
        <f t="shared" si="40"/>
        <v/>
      </c>
      <c r="W147" s="18" t="str">
        <f t="shared" si="41"/>
        <v/>
      </c>
      <c r="X147" s="58" t="str">
        <f t="shared" si="42"/>
        <v/>
      </c>
    </row>
    <row r="148" spans="1:24" ht="13.5">
      <c r="A148" s="6"/>
      <c r="B148" s="6"/>
      <c r="C148" s="14"/>
      <c r="D148" s="6">
        <f>$M148</f>
        <v>49.523725814840176</v>
      </c>
      <c r="E148" s="4" t="s">
        <v>195</v>
      </c>
      <c r="F148" s="6">
        <v>21</v>
      </c>
      <c r="G148" s="6">
        <f>$M148</f>
        <v>49.523725814840176</v>
      </c>
      <c r="H148" s="4" t="str">
        <f>IF($H$2="N","/|)",IF($H$2="Y","/|)","(|~"))</f>
        <v>(|~</v>
      </c>
      <c r="I148" s="1">
        <f>IF($H$2="N",25,IF($H$2="Y",25,25.8))</f>
        <v>25.8</v>
      </c>
      <c r="J148" s="72">
        <f t="shared" si="32"/>
        <v>49.523725814840176</v>
      </c>
      <c r="K148" s="4" t="s">
        <v>195</v>
      </c>
      <c r="L148" s="1">
        <f t="shared" si="33"/>
        <v>102</v>
      </c>
      <c r="M148" s="9">
        <f>(O148+O146)/2*M$3</f>
        <v>49.523725814840176</v>
      </c>
      <c r="N148" s="4" t="s">
        <v>195</v>
      </c>
      <c r="O148" s="1">
        <f>O146+1</f>
        <v>102</v>
      </c>
      <c r="P148" s="11">
        <f>1200*LN($S148/$R148)/LN(2)</f>
        <v>49.894924501679178</v>
      </c>
      <c r="Q148" s="12" t="s">
        <v>196</v>
      </c>
      <c r="R148" s="12">
        <f>3^2*19</f>
        <v>171</v>
      </c>
      <c r="S148" s="15">
        <f>2^4*11</f>
        <v>176</v>
      </c>
      <c r="T148" s="57">
        <f>P148</f>
        <v>49.894924501679178</v>
      </c>
      <c r="V148" s="18" t="str">
        <f t="shared" si="40"/>
        <v/>
      </c>
      <c r="W148" s="18" t="str">
        <f t="shared" si="41"/>
        <v/>
      </c>
      <c r="X148" s="58" t="str">
        <f t="shared" si="42"/>
        <v/>
      </c>
    </row>
    <row r="149" spans="1:24" ht="13.5">
      <c r="A149" s="6"/>
      <c r="B149" s="6"/>
      <c r="C149" s="14"/>
      <c r="D149" s="6"/>
      <c r="E149" s="6"/>
      <c r="F149" s="6"/>
      <c r="G149" s="6">
        <f>$M149</f>
        <v>50.011644295774559</v>
      </c>
      <c r="H149" s="10" t="s">
        <v>198</v>
      </c>
      <c r="I149" s="1">
        <v>26</v>
      </c>
      <c r="J149" s="72">
        <f t="shared" si="32"/>
        <v>50.011644295774559</v>
      </c>
      <c r="K149" s="10" t="s">
        <v>2076</v>
      </c>
      <c r="L149" s="1">
        <f t="shared" si="33"/>
        <v>103</v>
      </c>
      <c r="M149" s="9">
        <f>(O149+O148)/2*M$3</f>
        <v>50.011644295774559</v>
      </c>
      <c r="N149" s="10" t="s">
        <v>2076</v>
      </c>
      <c r="O149" s="1">
        <f>O148+1</f>
        <v>103</v>
      </c>
      <c r="P149" s="13">
        <f>1200*LN($S149/$R149)/LN(2)</f>
        <v>50.301386018794425</v>
      </c>
      <c r="Q149" s="6" t="s">
        <v>353</v>
      </c>
      <c r="R149" s="18">
        <f>2^25</f>
        <v>33554432</v>
      </c>
      <c r="S149" s="18">
        <f>3^12*5*13</f>
        <v>34543665</v>
      </c>
      <c r="T149" s="13">
        <f>$T145+$T10-T6</f>
        <v>50.301386018794254</v>
      </c>
      <c r="U149" s="13">
        <f>$T145+$T10-U6</f>
        <v>50.32834631399669</v>
      </c>
      <c r="V149" s="18" t="str">
        <f t="shared" si="40"/>
        <v/>
      </c>
      <c r="W149" s="18" t="str">
        <f t="shared" si="41"/>
        <v/>
      </c>
      <c r="X149" s="58" t="str">
        <f t="shared" si="42"/>
        <v/>
      </c>
    </row>
    <row r="150" spans="1:24" ht="13.5">
      <c r="A150" s="6"/>
      <c r="B150" s="6"/>
      <c r="C150" s="14"/>
      <c r="D150" s="6"/>
      <c r="E150" s="6"/>
      <c r="F150" s="6"/>
      <c r="G150" s="1"/>
      <c r="H150" s="1"/>
      <c r="I150" s="1"/>
      <c r="J150" s="72">
        <f t="shared" si="32"/>
        <v>50.499562776708949</v>
      </c>
      <c r="K150" s="10" t="s">
        <v>198</v>
      </c>
      <c r="L150" s="1">
        <f t="shared" si="33"/>
        <v>104</v>
      </c>
      <c r="M150" s="9">
        <f>(O150+O149)/2*M$3</f>
        <v>50.499562776708949</v>
      </c>
      <c r="N150" s="10" t="s">
        <v>198</v>
      </c>
      <c r="O150" s="1">
        <f>O149+1</f>
        <v>104</v>
      </c>
      <c r="P150" s="11">
        <f t="shared" si="43"/>
        <v>50.724102184749405</v>
      </c>
      <c r="Q150" s="12" t="s">
        <v>199</v>
      </c>
      <c r="R150" s="12">
        <f>2^13*7</f>
        <v>57344</v>
      </c>
      <c r="S150" s="12">
        <f>3^10</f>
        <v>59049</v>
      </c>
      <c r="T150" s="57">
        <f>$T145+$T10</f>
        <v>50.724102184749079</v>
      </c>
      <c r="U150" s="69"/>
      <c r="V150" s="18" t="str">
        <f t="shared" si="40"/>
        <v/>
      </c>
      <c r="W150" s="18" t="str">
        <f t="shared" si="41"/>
        <v/>
      </c>
      <c r="X150" s="58" t="str">
        <f t="shared" si="42"/>
        <v/>
      </c>
    </row>
    <row r="151" spans="1:24" ht="13.5">
      <c r="A151" s="6"/>
      <c r="B151" s="6"/>
      <c r="C151" s="14"/>
      <c r="D151" s="6"/>
      <c r="E151" s="6"/>
      <c r="F151" s="6"/>
      <c r="G151" s="1"/>
      <c r="H151" s="1"/>
      <c r="I151" s="1"/>
      <c r="J151" s="72">
        <f t="shared" si="32"/>
        <v>50.987481257643331</v>
      </c>
      <c r="K151" s="10" t="s">
        <v>200</v>
      </c>
      <c r="L151" s="1">
        <f t="shared" si="33"/>
        <v>105</v>
      </c>
      <c r="M151" s="9">
        <f>(O151+O150)/2*M$3</f>
        <v>50.987481257643331</v>
      </c>
      <c r="N151" s="10" t="s">
        <v>200</v>
      </c>
      <c r="O151" s="1">
        <f>O150+1</f>
        <v>105</v>
      </c>
      <c r="P151" s="13">
        <f t="shared" si="43"/>
        <v>51.119858055501524</v>
      </c>
      <c r="Q151" s="6" t="s">
        <v>201</v>
      </c>
      <c r="R151" s="6">
        <f>2^14</f>
        <v>16384</v>
      </c>
      <c r="S151" s="6">
        <f>3^3*5^4</f>
        <v>16875</v>
      </c>
      <c r="T151" s="57">
        <f>$T145+$T10+T6</f>
        <v>51.146818350703903</v>
      </c>
      <c r="U151" s="57">
        <f>$T145+$T10+U6</f>
        <v>51.119858055501467</v>
      </c>
      <c r="V151" s="18" t="str">
        <f t="shared" si="40"/>
        <v/>
      </c>
      <c r="W151" s="18" t="str">
        <f t="shared" si="41"/>
        <v/>
      </c>
      <c r="X151" s="58" t="str">
        <f t="shared" si="42"/>
        <v/>
      </c>
    </row>
    <row r="152" spans="1:24" ht="13.5">
      <c r="A152" s="6">
        <f>$M152</f>
        <v>51.219540248855708</v>
      </c>
      <c r="B152" s="4" t="str">
        <f>IF($B$2&gt;10,"/|\","(/|")</f>
        <v>/|\</v>
      </c>
      <c r="C152" s="14">
        <v>10</v>
      </c>
      <c r="D152" s="6"/>
      <c r="E152" s="6"/>
      <c r="F152" s="6"/>
      <c r="G152" s="6">
        <f>$M152</f>
        <v>51.219540248855708</v>
      </c>
      <c r="H152" s="4" t="str">
        <f>IF($H$2="N","'/|)",IF($H$2="Y","./|\","./|\"))</f>
        <v>./|\</v>
      </c>
      <c r="I152" s="1">
        <f>IF($H$2="N",26,IF($H$2="Y",26.6,26.6))</f>
        <v>26.6</v>
      </c>
      <c r="J152" s="72">
        <f t="shared" si="32"/>
        <v>51.219540248855708</v>
      </c>
      <c r="K152" s="10" t="str">
        <f>IF($K$2="Y","./|\","'/|)'")</f>
        <v>./|\</v>
      </c>
      <c r="L152" s="68">
        <f t="shared" si="33"/>
        <v>105.47561016907574</v>
      </c>
      <c r="M152" s="9">
        <f>(P151+P152)/2</f>
        <v>51.219540248855708</v>
      </c>
      <c r="N152" s="4" t="s">
        <v>202</v>
      </c>
      <c r="O152" s="68">
        <f>O151+(M152-M151)/$M$3</f>
        <v>105.47561016907574</v>
      </c>
      <c r="P152" s="13">
        <f t="shared" si="43"/>
        <v>51.319222442209885</v>
      </c>
      <c r="Q152" s="6" t="s">
        <v>203</v>
      </c>
      <c r="R152" s="6">
        <f>3^7*5</f>
        <v>10935</v>
      </c>
      <c r="S152" s="6">
        <f>2^10*11</f>
        <v>11264</v>
      </c>
      <c r="T152" s="69">
        <f>$T157-$T10</f>
        <v>51.319222442209963</v>
      </c>
      <c r="U152" s="69"/>
      <c r="V152" s="18" t="str">
        <f t="shared" si="40"/>
        <v/>
      </c>
      <c r="W152" s="18" t="str">
        <f t="shared" si="41"/>
        <v/>
      </c>
      <c r="X152" s="58" t="str">
        <f t="shared" si="42"/>
        <v/>
      </c>
    </row>
    <row r="153" spans="1:24" ht="13.5">
      <c r="A153" s="6"/>
      <c r="B153" s="6"/>
      <c r="C153" s="14"/>
      <c r="D153" s="6"/>
      <c r="E153" s="6"/>
      <c r="F153" s="6"/>
      <c r="G153" s="1"/>
      <c r="H153" s="1"/>
      <c r="I153" s="1"/>
      <c r="J153" s="72">
        <f t="shared" si="32"/>
        <v>51.475399738577714</v>
      </c>
      <c r="K153" s="4" t="s">
        <v>204</v>
      </c>
      <c r="L153" s="1">
        <f t="shared" si="33"/>
        <v>106</v>
      </c>
      <c r="M153" s="9">
        <f>(O153+O151)/2*M$3</f>
        <v>51.475399738577714</v>
      </c>
      <c r="N153" s="4" t="s">
        <v>204</v>
      </c>
      <c r="O153" s="1">
        <f>O151+1</f>
        <v>106</v>
      </c>
      <c r="P153" s="11">
        <f t="shared" si="43"/>
        <v>51.68246627026312</v>
      </c>
      <c r="Q153" s="12" t="s">
        <v>205</v>
      </c>
      <c r="R153" s="12">
        <f>3*11</f>
        <v>33</v>
      </c>
      <c r="S153" s="12">
        <f>2*17</f>
        <v>34</v>
      </c>
      <c r="T153" s="57">
        <f>$T157-$T10+T6</f>
        <v>51.741938608164787</v>
      </c>
      <c r="U153" s="57">
        <f>$T157-$T10+U6</f>
        <v>51.714978312962351</v>
      </c>
      <c r="V153" s="18" t="str">
        <f t="shared" si="40"/>
        <v/>
      </c>
      <c r="W153" s="18" t="str">
        <f t="shared" si="41"/>
        <v/>
      </c>
      <c r="X153" s="58" t="str">
        <f t="shared" si="42"/>
        <v/>
      </c>
    </row>
    <row r="154" spans="1:24" ht="13.5">
      <c r="A154" s="6"/>
      <c r="B154" s="6"/>
      <c r="C154" s="14"/>
      <c r="D154" s="6">
        <f>$M154</f>
        <v>51.963318219512104</v>
      </c>
      <c r="E154" s="10" t="s">
        <v>209</v>
      </c>
      <c r="F154" s="6">
        <v>22</v>
      </c>
      <c r="G154" s="6">
        <f>$M154</f>
        <v>51.963318219512104</v>
      </c>
      <c r="H154" s="10" t="s">
        <v>209</v>
      </c>
      <c r="I154" s="1">
        <v>27</v>
      </c>
      <c r="J154" s="72">
        <f t="shared" si="32"/>
        <v>51.963318219512104</v>
      </c>
      <c r="K154" s="4" t="s">
        <v>206</v>
      </c>
      <c r="L154" s="1">
        <f t="shared" si="33"/>
        <v>107</v>
      </c>
      <c r="M154" s="9">
        <f t="shared" ref="M154:M161" si="44">(O154+O153)/2*M$3</f>
        <v>51.963318219512104</v>
      </c>
      <c r="N154" s="4" t="s">
        <v>206</v>
      </c>
      <c r="O154" s="1">
        <f t="shared" ref="O154:O161" si="45">O153+1</f>
        <v>107</v>
      </c>
      <c r="P154" s="13">
        <f t="shared" si="43"/>
        <v>52.174364000256972</v>
      </c>
      <c r="Q154" s="6" t="s">
        <v>207</v>
      </c>
      <c r="R154" s="6">
        <f>3^3*23</f>
        <v>621</v>
      </c>
      <c r="S154" s="6">
        <f>2^7*5</f>
        <v>640</v>
      </c>
      <c r="T154" s="57">
        <f>$T157-T8</f>
        <v>52.440419026042527</v>
      </c>
      <c r="U154" s="68">
        <f>$T157-U8</f>
        <v>52.45447119343698</v>
      </c>
      <c r="V154" s="18" t="str">
        <f t="shared" si="40"/>
        <v/>
      </c>
      <c r="W154" s="18" t="str">
        <f t="shared" si="41"/>
        <v>high</v>
      </c>
      <c r="X154" s="58" t="str">
        <f t="shared" si="42"/>
        <v/>
      </c>
    </row>
    <row r="155" spans="1:24" ht="13.5">
      <c r="A155" s="6"/>
      <c r="B155" s="6"/>
      <c r="C155" s="14"/>
      <c r="D155" s="6"/>
      <c r="E155" s="6"/>
      <c r="F155" s="6"/>
      <c r="G155" s="1"/>
      <c r="H155" s="1"/>
      <c r="I155" s="1"/>
      <c r="J155" s="72">
        <f t="shared" si="32"/>
        <v>52.451236700446486</v>
      </c>
      <c r="K155" s="4" t="s">
        <v>208</v>
      </c>
      <c r="L155" s="1">
        <f t="shared" si="33"/>
        <v>108</v>
      </c>
      <c r="M155" s="9">
        <f t="shared" si="44"/>
        <v>52.451236700446486</v>
      </c>
      <c r="N155" s="4" t="s">
        <v>208</v>
      </c>
      <c r="O155" s="1">
        <f t="shared" si="45"/>
        <v>108</v>
      </c>
      <c r="P155" s="13">
        <f t="shared" si="43"/>
        <v>52.70053983624841</v>
      </c>
      <c r="Q155" s="23" t="s">
        <v>348</v>
      </c>
      <c r="R155" s="23">
        <f>2*5^2*11</f>
        <v>550</v>
      </c>
      <c r="S155" s="23">
        <f>3^4*7</f>
        <v>567</v>
      </c>
      <c r="T155" s="57">
        <f>$T157-T6</f>
        <v>52.850227064189298</v>
      </c>
      <c r="U155" s="57">
        <f>$T157-U6</f>
        <v>52.877187359391733</v>
      </c>
      <c r="V155" s="18" t="str">
        <f t="shared" si="40"/>
        <v/>
      </c>
      <c r="W155" s="18" t="str">
        <f t="shared" si="41"/>
        <v/>
      </c>
      <c r="X155" s="58" t="str">
        <f t="shared" si="42"/>
        <v/>
      </c>
    </row>
    <row r="156" spans="1:24" ht="13.5">
      <c r="A156" s="6"/>
      <c r="B156" s="6"/>
      <c r="C156" s="14"/>
      <c r="D156" s="6"/>
      <c r="E156" s="6"/>
      <c r="F156" s="6"/>
      <c r="G156" s="1"/>
      <c r="H156" s="1"/>
      <c r="I156" s="1"/>
      <c r="J156" s="72">
        <f t="shared" si="32"/>
        <v>52.939155181380876</v>
      </c>
      <c r="K156" s="10" t="s">
        <v>209</v>
      </c>
      <c r="L156" s="1">
        <f t="shared" si="33"/>
        <v>109</v>
      </c>
      <c r="M156" s="9">
        <f t="shared" si="44"/>
        <v>52.939155181380876</v>
      </c>
      <c r="N156" s="43" t="s">
        <v>2075</v>
      </c>
      <c r="O156" s="1">
        <f t="shared" si="45"/>
        <v>109</v>
      </c>
      <c r="P156" s="13">
        <f t="shared" si="43"/>
        <v>53.073578843435683</v>
      </c>
      <c r="Q156" s="23" t="s">
        <v>315</v>
      </c>
      <c r="R156" s="139">
        <f>2^29</f>
        <v>536870912</v>
      </c>
      <c r="S156" s="139">
        <f>3^11*5^5</f>
        <v>553584375</v>
      </c>
      <c r="T156" s="19">
        <f>$T160-$T10+T6</f>
        <v>52.997178978221307</v>
      </c>
      <c r="U156" s="19">
        <f>$T160-$T10+U6</f>
        <v>52.970218683018871</v>
      </c>
      <c r="V156" s="18" t="str">
        <f>IF(T157&lt;$M156,"low",IF(T157&gt;$M158,"high",""))</f>
        <v/>
      </c>
      <c r="W156" s="18" t="str">
        <f>IF(U157=0,"",IF(U157&lt;$M156,"low",IF(U157&gt;$M158,"high","")))</f>
        <v/>
      </c>
      <c r="X156" s="58" t="str">
        <f>IF(ABS(T157-T155)&lt;10^-10,"same","")</f>
        <v/>
      </c>
    </row>
    <row r="157" spans="1:24" ht="13.5">
      <c r="A157" s="6"/>
      <c r="B157" s="6"/>
      <c r="C157" s="14"/>
      <c r="D157" s="6"/>
      <c r="E157" s="6"/>
      <c r="F157" s="6"/>
      <c r="G157" s="1"/>
      <c r="H157" s="1"/>
      <c r="I157" s="1"/>
      <c r="J157" s="72"/>
      <c r="K157" s="10"/>
      <c r="L157" s="1"/>
      <c r="M157" s="9">
        <f>(P156+P157)/2</f>
        <v>53.173261036789903</v>
      </c>
      <c r="N157" s="10" t="s">
        <v>209</v>
      </c>
      <c r="O157" s="68">
        <f>O156+(M157-M156)/$M$3</f>
        <v>109.47980526370041</v>
      </c>
      <c r="P157" s="11">
        <f>1200*LN($S157/$R157)/LN(2)</f>
        <v>53.272943230144122</v>
      </c>
      <c r="Q157" s="12" t="s">
        <v>210</v>
      </c>
      <c r="R157" s="12">
        <f>2^5</f>
        <v>32</v>
      </c>
      <c r="S157" s="12">
        <f>11*3</f>
        <v>33</v>
      </c>
      <c r="T157" s="57">
        <f>P157</f>
        <v>53.272943230144122</v>
      </c>
      <c r="V157" s="18"/>
      <c r="W157" s="18"/>
      <c r="X157" s="58"/>
    </row>
    <row r="158" spans="1:24" ht="13.5">
      <c r="A158" s="6"/>
      <c r="B158" s="6"/>
      <c r="C158" s="14"/>
      <c r="D158" s="6"/>
      <c r="E158" s="6"/>
      <c r="F158" s="6"/>
      <c r="G158" s="1"/>
      <c r="H158" s="1"/>
      <c r="I158" s="1"/>
      <c r="J158" s="72">
        <f t="shared" si="32"/>
        <v>53.427073662315259</v>
      </c>
      <c r="K158" s="4" t="s">
        <v>211</v>
      </c>
      <c r="L158" s="1">
        <f t="shared" si="33"/>
        <v>110</v>
      </c>
      <c r="M158" s="9">
        <f>(O158+O156)/2*M$3</f>
        <v>53.427073662315259</v>
      </c>
      <c r="N158" s="4" t="s">
        <v>211</v>
      </c>
      <c r="O158" s="1">
        <f>O156+1</f>
        <v>110</v>
      </c>
      <c r="P158" s="13">
        <f t="shared" ref="P158:P163" si="46">1200*LN($S158/$R158)/LN(2)</f>
        <v>53.636187058197457</v>
      </c>
      <c r="Q158" s="21" t="s">
        <v>448</v>
      </c>
      <c r="R158" s="21">
        <f>2^14*11</f>
        <v>180224</v>
      </c>
      <c r="S158" s="21">
        <f>3^7*5*17</f>
        <v>185895</v>
      </c>
      <c r="T158" s="123">
        <f>$T157+T6</f>
        <v>53.695659396098947</v>
      </c>
      <c r="U158" s="99">
        <f>$T157+U6</f>
        <v>53.668699100896511</v>
      </c>
      <c r="V158" s="18" t="str">
        <f t="shared" si="40"/>
        <v/>
      </c>
      <c r="W158" s="18" t="str">
        <f t="shared" si="41"/>
        <v/>
      </c>
      <c r="X158" s="58" t="str">
        <f>IF(ABS(T158-T157)&lt;10^-10,"same","")</f>
        <v/>
      </c>
    </row>
    <row r="159" spans="1:24" ht="13.5">
      <c r="A159" s="6"/>
      <c r="B159" s="6"/>
      <c r="C159" s="14"/>
      <c r="D159" s="6">
        <f>$M159</f>
        <v>53.914992143249648</v>
      </c>
      <c r="E159" s="10" t="s">
        <v>212</v>
      </c>
      <c r="F159" s="6">
        <v>23</v>
      </c>
      <c r="G159" s="6">
        <f>$M159</f>
        <v>53.914992143249648</v>
      </c>
      <c r="H159" s="10" t="s">
        <v>212</v>
      </c>
      <c r="I159" s="1">
        <v>28</v>
      </c>
      <c r="J159" s="72">
        <f t="shared" si="32"/>
        <v>53.914992143249648</v>
      </c>
      <c r="K159" s="4" t="s">
        <v>1998</v>
      </c>
      <c r="L159" s="1">
        <f t="shared" si="33"/>
        <v>111</v>
      </c>
      <c r="M159" s="9">
        <f t="shared" si="44"/>
        <v>53.914992143249648</v>
      </c>
      <c r="N159" s="4" t="s">
        <v>1998</v>
      </c>
      <c r="O159" s="1">
        <f t="shared" si="45"/>
        <v>111</v>
      </c>
      <c r="P159" s="13">
        <f t="shared" si="46"/>
        <v>54.105467434245838</v>
      </c>
      <c r="Q159" s="6" t="s">
        <v>369</v>
      </c>
      <c r="R159" s="6">
        <f>3^2*7</f>
        <v>63</v>
      </c>
      <c r="S159" s="6">
        <f>5*13</f>
        <v>65</v>
      </c>
      <c r="T159" s="123">
        <f>$T160-T6</f>
        <v>54.105467434245817</v>
      </c>
      <c r="U159" s="57">
        <f>$T160-U6</f>
        <v>54.132427729448253</v>
      </c>
      <c r="V159" s="18" t="str">
        <f t="shared" si="40"/>
        <v/>
      </c>
      <c r="W159" s="18" t="str">
        <f t="shared" si="41"/>
        <v/>
      </c>
      <c r="X159" s="58" t="str">
        <f t="shared" si="42"/>
        <v/>
      </c>
    </row>
    <row r="160" spans="1:24" ht="13.5">
      <c r="A160" s="6"/>
      <c r="B160" s="4"/>
      <c r="C160" s="14"/>
      <c r="D160" s="6"/>
      <c r="E160" s="10"/>
      <c r="F160" s="6"/>
      <c r="G160" s="6"/>
      <c r="H160" s="10"/>
      <c r="I160" s="1"/>
      <c r="J160" s="72">
        <f t="shared" si="32"/>
        <v>54.402910624184031</v>
      </c>
      <c r="K160" s="10" t="s">
        <v>212</v>
      </c>
      <c r="L160" s="1">
        <f t="shared" si="33"/>
        <v>112</v>
      </c>
      <c r="M160" s="9">
        <f t="shared" si="44"/>
        <v>54.402910624184031</v>
      </c>
      <c r="N160" s="10" t="s">
        <v>212</v>
      </c>
      <c r="O160" s="1">
        <f t="shared" si="45"/>
        <v>112</v>
      </c>
      <c r="P160" s="11">
        <f t="shared" si="46"/>
        <v>54.528183600200641</v>
      </c>
      <c r="Q160" s="12" t="s">
        <v>213</v>
      </c>
      <c r="R160" s="12">
        <f>3^4*7^2</f>
        <v>3969</v>
      </c>
      <c r="S160" s="12">
        <f>2^12</f>
        <v>4096</v>
      </c>
      <c r="T160" s="57">
        <f>P160</f>
        <v>54.528183600200641</v>
      </c>
      <c r="V160" s="18" t="str">
        <f t="shared" si="40"/>
        <v/>
      </c>
      <c r="W160" s="18" t="str">
        <f t="shared" si="41"/>
        <v/>
      </c>
      <c r="X160" s="58" t="str">
        <f t="shared" si="42"/>
        <v/>
      </c>
    </row>
    <row r="161" spans="1:24" ht="13.5">
      <c r="A161" s="6"/>
      <c r="B161" s="6"/>
      <c r="C161" s="14"/>
      <c r="D161" s="6"/>
      <c r="E161" s="6"/>
      <c r="F161" s="6"/>
      <c r="G161" s="1"/>
      <c r="H161" s="1"/>
      <c r="I161" s="1"/>
      <c r="J161" s="72">
        <f t="shared" si="32"/>
        <v>54.890829105118421</v>
      </c>
      <c r="K161" s="10" t="str">
        <f>IF($K$2="Y","(/|'","'/|\")</f>
        <v>(/|'</v>
      </c>
      <c r="L161" s="1">
        <f t="shared" si="33"/>
        <v>113</v>
      </c>
      <c r="M161" s="9">
        <f t="shared" si="44"/>
        <v>54.890829105118421</v>
      </c>
      <c r="N161" s="4" t="s">
        <v>214</v>
      </c>
      <c r="O161" s="1">
        <f t="shared" si="45"/>
        <v>113</v>
      </c>
      <c r="P161" s="13">
        <f t="shared" si="46"/>
        <v>54.964427535749699</v>
      </c>
      <c r="Q161" s="21" t="s">
        <v>215</v>
      </c>
      <c r="R161" s="21">
        <v>31</v>
      </c>
      <c r="S161" s="21">
        <v>32</v>
      </c>
      <c r="T161" s="57">
        <f>$T160+T6</f>
        <v>54.950899766155466</v>
      </c>
      <c r="U161" s="57">
        <f>$T160+U6</f>
        <v>54.92393947095303</v>
      </c>
      <c r="V161" s="18" t="str">
        <f t="shared" ref="V161:V166" si="47">IF(T161&lt;$M161,"low",IF(T161&gt;$M162,"high",""))</f>
        <v/>
      </c>
      <c r="W161" s="18" t="str">
        <f t="shared" ref="W161:W166" si="48">IF(U161=0,"",IF(U161&lt;$M161,"low",IF(U161&gt;$M162,"high","")))</f>
        <v/>
      </c>
      <c r="X161" s="58" t="str">
        <f t="shared" ref="X161:X166" si="49">IF(ABS(T161-T160)&lt;10^-10,"same","")</f>
        <v/>
      </c>
    </row>
    <row r="162" spans="1:24" ht="13.5">
      <c r="A162" s="6"/>
      <c r="B162" s="6"/>
      <c r="C162" s="14"/>
      <c r="D162" s="6"/>
      <c r="E162" s="6"/>
      <c r="F162" s="6"/>
      <c r="G162" s="6">
        <f>$M162</f>
        <v>55.095545776913994</v>
      </c>
      <c r="H162" s="4" t="str">
        <f>IF($H$2="N","(/|",IF($H$2="Y","'/|\","'/|\"))</f>
        <v>'/|\</v>
      </c>
      <c r="I162" s="1">
        <f>IF($H$2="N",28,IF($H$2="Y",28.6,28.6))</f>
        <v>28.6</v>
      </c>
      <c r="J162" s="72">
        <f t="shared" si="32"/>
        <v>55.095545776913994</v>
      </c>
      <c r="K162" s="10" t="s">
        <v>216</v>
      </c>
      <c r="L162" s="68">
        <f t="shared" si="33"/>
        <v>113.41957146489621</v>
      </c>
      <c r="M162" s="9">
        <f>(P161+P162)/2</f>
        <v>55.095545776913994</v>
      </c>
      <c r="N162" s="10" t="s">
        <v>216</v>
      </c>
      <c r="O162" s="68">
        <f>O161+(M162-M161)/$M$3</f>
        <v>113.41957146489621</v>
      </c>
      <c r="P162" s="13">
        <f t="shared" si="46"/>
        <v>55.226664018078296</v>
      </c>
      <c r="Q162" s="21" t="s">
        <v>218</v>
      </c>
      <c r="R162" s="21">
        <f>2^20</f>
        <v>1048576</v>
      </c>
      <c r="S162" s="21">
        <f>3^9*5*11</f>
        <v>1082565</v>
      </c>
      <c r="T162" s="99">
        <f>$T157+$T10</f>
        <v>55.226664018078282</v>
      </c>
      <c r="V162" s="18" t="str">
        <f t="shared" si="47"/>
        <v/>
      </c>
      <c r="W162" s="18" t="str">
        <f t="shared" si="48"/>
        <v/>
      </c>
      <c r="X162" s="58" t="str">
        <f t="shared" si="49"/>
        <v/>
      </c>
    </row>
    <row r="163" spans="1:24" ht="13.5">
      <c r="A163" s="6"/>
      <c r="B163" s="6"/>
      <c r="C163" s="14"/>
      <c r="D163" s="6"/>
      <c r="E163" s="6"/>
      <c r="F163" s="6"/>
      <c r="G163" s="1"/>
      <c r="H163" s="1"/>
      <c r="I163" s="1"/>
      <c r="J163" s="72">
        <f t="shared" si="32"/>
        <v>55.378747586052803</v>
      </c>
      <c r="K163" s="10" t="s">
        <v>2091</v>
      </c>
      <c r="L163" s="1">
        <f t="shared" si="33"/>
        <v>114</v>
      </c>
      <c r="M163" s="9">
        <f>(O163+O161)/2*M$3</f>
        <v>55.378747586052803</v>
      </c>
      <c r="N163" s="10" t="s">
        <v>2091</v>
      </c>
      <c r="O163" s="1">
        <f>O161+1</f>
        <v>114</v>
      </c>
      <c r="P163" s="13">
        <f t="shared" si="46"/>
        <v>55.649380184033184</v>
      </c>
      <c r="Q163" s="6" t="s">
        <v>493</v>
      </c>
      <c r="R163" s="6">
        <f>2^8*7*13</f>
        <v>23296</v>
      </c>
      <c r="S163" s="6">
        <f>3^7*11</f>
        <v>24057</v>
      </c>
      <c r="T163" s="13">
        <f>$T157+$T10+T6</f>
        <v>55.649380184033106</v>
      </c>
      <c r="U163" s="13">
        <f>$T157+$T10+U6</f>
        <v>55.62241988883067</v>
      </c>
      <c r="V163" s="18" t="str">
        <f t="shared" si="47"/>
        <v/>
      </c>
      <c r="W163" s="18" t="str">
        <f t="shared" si="48"/>
        <v/>
      </c>
      <c r="X163" s="58" t="str">
        <f t="shared" si="49"/>
        <v/>
      </c>
    </row>
    <row r="164" spans="1:24" ht="13.5">
      <c r="A164" s="6"/>
      <c r="B164" s="6"/>
      <c r="C164" s="14"/>
      <c r="D164" s="6">
        <f>$M164</f>
        <v>55.866666066987193</v>
      </c>
      <c r="E164" s="4" t="str">
        <f>IF($E$2="N","(/|",")/|\")</f>
        <v>)/|\</v>
      </c>
      <c r="F164" s="31">
        <f>IF($E$2="N",23,23.5)</f>
        <v>23.5</v>
      </c>
      <c r="G164" s="6">
        <f>$M164</f>
        <v>55.866666066987193</v>
      </c>
      <c r="H164" s="4" t="s">
        <v>1786</v>
      </c>
      <c r="I164" s="1">
        <v>29</v>
      </c>
      <c r="J164" s="72">
        <f t="shared" si="32"/>
        <v>55.866666066987193</v>
      </c>
      <c r="K164" s="4" t="s">
        <v>1788</v>
      </c>
      <c r="L164" s="1">
        <f t="shared" si="33"/>
        <v>115</v>
      </c>
      <c r="M164" s="9">
        <f t="shared" ref="M164:M169" si="50">(O164+O163)/2*M$3</f>
        <v>55.866666066987193</v>
      </c>
      <c r="N164" s="4" t="s">
        <v>1788</v>
      </c>
      <c r="O164" s="1">
        <v>115</v>
      </c>
      <c r="P164" s="13">
        <f t="shared" ref="P164:P174" si="51">1200*LN($S164/$R164)/LN(2)</f>
        <v>56.185028103592295</v>
      </c>
      <c r="Q164" s="6" t="s">
        <v>1777</v>
      </c>
      <c r="R164" s="6">
        <f>2^6*3^2</f>
        <v>576</v>
      </c>
      <c r="S164" s="6">
        <f>5*7*17</f>
        <v>595</v>
      </c>
      <c r="T164" s="57">
        <f>$T165-T6</f>
        <v>56.05918822217982</v>
      </c>
      <c r="U164" s="68">
        <f>$T165-U6</f>
        <v>56.086148517382256</v>
      </c>
      <c r="V164" s="18" t="str">
        <f t="shared" si="47"/>
        <v/>
      </c>
      <c r="W164" s="18" t="str">
        <f t="shared" si="48"/>
        <v/>
      </c>
      <c r="X164" s="58" t="str">
        <f t="shared" si="49"/>
        <v/>
      </c>
    </row>
    <row r="165" spans="1:24" ht="13.5">
      <c r="A165" s="6"/>
      <c r="B165" s="6"/>
      <c r="C165" s="14"/>
      <c r="D165" s="6"/>
      <c r="E165" s="6"/>
      <c r="F165" s="6"/>
      <c r="G165" s="1"/>
      <c r="H165" s="1"/>
      <c r="I165" s="1"/>
      <c r="J165" s="72">
        <f t="shared" si="32"/>
        <v>56.354584547921576</v>
      </c>
      <c r="K165" s="4" t="s">
        <v>1786</v>
      </c>
      <c r="L165" s="1">
        <f t="shared" si="33"/>
        <v>116</v>
      </c>
      <c r="M165" s="9">
        <f t="shared" si="50"/>
        <v>56.354584547921576</v>
      </c>
      <c r="N165" s="4" t="s">
        <v>1786</v>
      </c>
      <c r="O165" s="1">
        <f>O164+1</f>
        <v>116</v>
      </c>
      <c r="P165" s="11">
        <f t="shared" si="51"/>
        <v>56.481904388134645</v>
      </c>
      <c r="Q165" s="12" t="s">
        <v>220</v>
      </c>
      <c r="R165" s="15">
        <f>2^3*7^2</f>
        <v>392</v>
      </c>
      <c r="S165" s="12">
        <f>3^4*5</f>
        <v>405</v>
      </c>
      <c r="T165" s="57">
        <f>P165</f>
        <v>56.481904388134645</v>
      </c>
      <c r="V165" s="18" t="str">
        <f t="shared" si="47"/>
        <v/>
      </c>
      <c r="W165" s="18" t="str">
        <f t="shared" si="48"/>
        <v/>
      </c>
      <c r="X165" s="58" t="str">
        <f t="shared" si="49"/>
        <v/>
      </c>
    </row>
    <row r="166" spans="1:24" ht="13.5">
      <c r="A166" s="6">
        <f>$M166</f>
        <v>56.842503028855965</v>
      </c>
      <c r="B166" s="4" t="str">
        <f>IF($B$2&gt;10,"(|)","|\)")</f>
        <v>(|)</v>
      </c>
      <c r="C166" s="14">
        <v>11</v>
      </c>
      <c r="D166" s="6">
        <f>$M166</f>
        <v>56.842503028855965</v>
      </c>
      <c r="E166" s="4" t="str">
        <f>IF($E$2="N","|\)",")/|\")</f>
        <v>)/|\</v>
      </c>
      <c r="F166" s="31">
        <f>IF($E$2="N",24,23.5)</f>
        <v>23.5</v>
      </c>
      <c r="G166" s="1"/>
      <c r="H166" s="1"/>
      <c r="I166" s="1"/>
      <c r="J166" s="72">
        <f t="shared" si="32"/>
        <v>56.842503028855965</v>
      </c>
      <c r="K166" s="4" t="s">
        <v>1787</v>
      </c>
      <c r="L166" s="1">
        <f t="shared" si="33"/>
        <v>117</v>
      </c>
      <c r="M166" s="9">
        <f t="shared" si="50"/>
        <v>56.842503028855965</v>
      </c>
      <c r="N166" s="4" t="s">
        <v>1787</v>
      </c>
      <c r="O166" s="1">
        <f>O165+1</f>
        <v>117</v>
      </c>
      <c r="P166" s="11">
        <f>1200*LN($S166/$R166)/LN(2)</f>
        <v>57.203101669577443</v>
      </c>
      <c r="Q166" s="12" t="s">
        <v>221</v>
      </c>
      <c r="R166" s="15">
        <f>2^8*5</f>
        <v>1280</v>
      </c>
      <c r="S166" s="12">
        <f>3^3*7^2</f>
        <v>1323</v>
      </c>
      <c r="T166" s="57">
        <f>$Q$2-T165</f>
        <v>57.203101669577286</v>
      </c>
      <c r="V166" s="18" t="str">
        <f t="shared" si="47"/>
        <v/>
      </c>
      <c r="W166" s="18" t="str">
        <f t="shared" si="48"/>
        <v/>
      </c>
      <c r="X166" s="58" t="str">
        <f t="shared" si="49"/>
        <v/>
      </c>
    </row>
    <row r="167" spans="1:24" ht="13.5">
      <c r="A167" s="6"/>
      <c r="B167" s="6"/>
      <c r="C167" s="14"/>
      <c r="D167" s="6"/>
      <c r="E167" s="6"/>
      <c r="F167" s="6"/>
      <c r="G167" s="1"/>
      <c r="H167" s="1"/>
      <c r="I167" s="1"/>
      <c r="J167" s="72">
        <f t="shared" si="32"/>
        <v>57.330421509790348</v>
      </c>
      <c r="K167" s="4" t="s">
        <v>1789</v>
      </c>
      <c r="L167" s="1">
        <f t="shared" si="33"/>
        <v>118</v>
      </c>
      <c r="M167" s="9">
        <f t="shared" si="50"/>
        <v>57.330421509790348</v>
      </c>
      <c r="N167" s="4" t="s">
        <v>1789</v>
      </c>
      <c r="O167" s="1">
        <f>O166+1</f>
        <v>118</v>
      </c>
      <c r="P167" s="13">
        <f>1200*LN($S167/$R167)/LN(2)</f>
        <v>57.499977954119714</v>
      </c>
      <c r="Q167" s="6" t="s">
        <v>222</v>
      </c>
      <c r="R167" s="6">
        <f>2^5*5*7*17</f>
        <v>19040</v>
      </c>
      <c r="S167" s="6">
        <f>3^9</f>
        <v>19683</v>
      </c>
      <c r="T167" s="99">
        <f>$Q$2-T164</f>
        <v>57.625817835532111</v>
      </c>
      <c r="U167" s="99">
        <f>$Q$2-U164</f>
        <v>57.598857540329675</v>
      </c>
      <c r="V167" s="18" t="str">
        <f t="shared" ref="V167:V174" si="52">IF(T167&lt;$M167,"low",IF(T167&gt;$M168,"high",""))</f>
        <v/>
      </c>
      <c r="W167" s="18" t="str">
        <f t="shared" ref="W167:W174" si="53">IF(U167=0,"",IF(U167&lt;$M167,"low",IF(U167&gt;$M168,"high","")))</f>
        <v/>
      </c>
      <c r="X167" s="58" t="str">
        <f t="shared" ref="X167:X175" si="54">IF(ABS(T167-T166)&lt;10^-10,"same","")</f>
        <v/>
      </c>
    </row>
    <row r="168" spans="1:24" ht="13.5">
      <c r="A168" s="6"/>
      <c r="B168" s="6"/>
      <c r="C168" s="14"/>
      <c r="D168" s="6">
        <f>$M168</f>
        <v>57.818339990724738</v>
      </c>
      <c r="E168" s="4" t="s">
        <v>228</v>
      </c>
      <c r="F168" s="31">
        <v>24</v>
      </c>
      <c r="G168" s="6">
        <f>$M168</f>
        <v>57.818339990724738</v>
      </c>
      <c r="H168" s="4" t="str">
        <f>IF($H$2="N","|\)",IF($H$2="Y",".(|)",".(|)"))</f>
        <v>.(|)</v>
      </c>
      <c r="I168" s="1">
        <v>30</v>
      </c>
      <c r="J168" s="72">
        <f t="shared" si="32"/>
        <v>57.818339990724738</v>
      </c>
      <c r="K168" s="4" t="s">
        <v>2092</v>
      </c>
      <c r="L168" s="1">
        <f t="shared" si="33"/>
        <v>119</v>
      </c>
      <c r="M168" s="9">
        <f t="shared" si="50"/>
        <v>57.818339990724738</v>
      </c>
      <c r="N168" s="4" t="s">
        <v>2092</v>
      </c>
      <c r="O168" s="1">
        <f>O167+1</f>
        <v>119</v>
      </c>
      <c r="P168" s="13">
        <f>1200*LN($S168/$R168)/LN(2)</f>
        <v>58.035625873678946</v>
      </c>
      <c r="Q168" s="6" t="s">
        <v>1992</v>
      </c>
      <c r="R168" s="6">
        <f>2^3*11</f>
        <v>88</v>
      </c>
      <c r="S168" s="6">
        <f>7*13</f>
        <v>91</v>
      </c>
      <c r="T168" s="13">
        <f>$T174-$T10-T6</f>
        <v>58.035625873678647</v>
      </c>
      <c r="U168" s="13">
        <f>$T174-$T10-U6</f>
        <v>58.062586168881083</v>
      </c>
      <c r="V168" s="18" t="str">
        <f t="shared" si="52"/>
        <v/>
      </c>
      <c r="W168" s="18" t="str">
        <f t="shared" si="53"/>
        <v/>
      </c>
      <c r="X168" s="58" t="str">
        <f t="shared" si="54"/>
        <v/>
      </c>
    </row>
    <row r="169" spans="1:24" ht="13.5">
      <c r="A169" s="6"/>
      <c r="B169" s="6"/>
      <c r="C169" s="14"/>
      <c r="D169" s="6"/>
      <c r="E169" s="6"/>
      <c r="F169" s="6"/>
      <c r="G169" s="1"/>
      <c r="H169" s="1"/>
      <c r="I169" s="1"/>
      <c r="J169" s="72">
        <f t="shared" si="32"/>
        <v>58.30625847165912</v>
      </c>
      <c r="K169" s="4" t="s">
        <v>217</v>
      </c>
      <c r="L169" s="1">
        <f t="shared" si="33"/>
        <v>120</v>
      </c>
      <c r="M169" s="9">
        <f t="shared" si="50"/>
        <v>58.30625847165912</v>
      </c>
      <c r="N169" s="4" t="s">
        <v>217</v>
      </c>
      <c r="O169" s="1">
        <f>O168+1</f>
        <v>120</v>
      </c>
      <c r="P169" s="11">
        <f t="shared" si="51"/>
        <v>58.458342039633642</v>
      </c>
      <c r="Q169" s="12" t="s">
        <v>224</v>
      </c>
      <c r="R169" s="12">
        <f>3^2*5*11</f>
        <v>495</v>
      </c>
      <c r="S169" s="15">
        <f>2^9</f>
        <v>512</v>
      </c>
      <c r="T169" s="57">
        <f>$T174-$T10</f>
        <v>58.458342039633472</v>
      </c>
      <c r="V169" s="18" t="str">
        <f t="shared" si="52"/>
        <v/>
      </c>
      <c r="W169" s="18" t="str">
        <f t="shared" si="53"/>
        <v/>
      </c>
      <c r="X169" s="58" t="str">
        <f t="shared" si="54"/>
        <v/>
      </c>
    </row>
    <row r="170" spans="1:24" ht="13.5">
      <c r="A170" s="6"/>
      <c r="B170" s="6"/>
      <c r="C170" s="14"/>
      <c r="D170" s="6"/>
      <c r="E170" s="6"/>
      <c r="F170" s="6"/>
      <c r="G170" s="6">
        <f>$M170</f>
        <v>58.589460280797908</v>
      </c>
      <c r="H170" s="4" t="s">
        <v>228</v>
      </c>
      <c r="I170" s="1">
        <f>IF($H$2="N",30,IF($H$2="Y",30.4,30.4))</f>
        <v>30.4</v>
      </c>
      <c r="J170" s="72">
        <f>M170</f>
        <v>58.589460280797908</v>
      </c>
      <c r="K170" s="4" t="str">
        <f>IF($K$2="Y","|\).",".(|)")</f>
        <v>|\).</v>
      </c>
      <c r="L170" s="68">
        <f>O170</f>
        <v>120.58042853510374</v>
      </c>
      <c r="M170" s="9">
        <f>(P169+P170)/2</f>
        <v>58.589460280797908</v>
      </c>
      <c r="N170" s="4" t="s">
        <v>225</v>
      </c>
      <c r="O170" s="68">
        <f>O169+(M170-M169)/$M$3</f>
        <v>120.58042853510374</v>
      </c>
      <c r="P170" s="13">
        <f t="shared" si="51"/>
        <v>58.720578521962175</v>
      </c>
      <c r="Q170" s="21" t="s">
        <v>1922</v>
      </c>
      <c r="R170" s="21">
        <f>2^16</f>
        <v>65536</v>
      </c>
      <c r="S170" s="21">
        <f>3^7*31</f>
        <v>67797</v>
      </c>
      <c r="T170" s="99">
        <f>$T171-T6</f>
        <v>58.734106291556621</v>
      </c>
      <c r="U170" s="99">
        <f>$T171-U6</f>
        <v>58.761066586759057</v>
      </c>
      <c r="V170" s="18" t="str">
        <f t="shared" si="52"/>
        <v/>
      </c>
      <c r="W170" s="18" t="str">
        <f t="shared" si="53"/>
        <v/>
      </c>
      <c r="X170" s="58" t="str">
        <f t="shared" si="54"/>
        <v/>
      </c>
    </row>
    <row r="171" spans="1:24" ht="13.5">
      <c r="A171" s="6"/>
      <c r="B171" s="6"/>
      <c r="C171" s="14"/>
      <c r="D171" s="6"/>
      <c r="E171" s="6"/>
      <c r="F171" s="6"/>
      <c r="G171" s="1"/>
      <c r="H171" s="1"/>
      <c r="I171" s="1"/>
      <c r="J171" s="72">
        <f t="shared" si="32"/>
        <v>58.794176952593503</v>
      </c>
      <c r="K171" s="4" t="s">
        <v>228</v>
      </c>
      <c r="L171" s="1">
        <f t="shared" si="33"/>
        <v>121</v>
      </c>
      <c r="M171" s="9">
        <f>(O171+O169)/2*M$3</f>
        <v>58.794176952593503</v>
      </c>
      <c r="N171" s="4" t="s">
        <v>228</v>
      </c>
      <c r="O171" s="1">
        <f>O169+1</f>
        <v>121</v>
      </c>
      <c r="P171" s="13">
        <f>1200*LN($S171/$R171)/LN(2)</f>
        <v>59.156822457511446</v>
      </c>
      <c r="Q171" s="14" t="s">
        <v>229</v>
      </c>
      <c r="R171" s="18">
        <f>2^23</f>
        <v>8388608</v>
      </c>
      <c r="S171" s="18">
        <f>3^11*7^2</f>
        <v>8680203</v>
      </c>
      <c r="T171" s="57">
        <f>P171</f>
        <v>59.156822457511446</v>
      </c>
      <c r="V171" s="18" t="str">
        <f t="shared" si="52"/>
        <v/>
      </c>
      <c r="W171" s="18" t="str">
        <f t="shared" si="53"/>
        <v/>
      </c>
      <c r="X171" s="58" t="str">
        <f t="shared" si="54"/>
        <v/>
      </c>
    </row>
    <row r="172" spans="1:24" ht="13.5">
      <c r="A172" s="6"/>
      <c r="B172" s="6"/>
      <c r="C172" s="14"/>
      <c r="D172" s="6"/>
      <c r="E172" s="6"/>
      <c r="F172" s="6"/>
      <c r="G172" s="1"/>
      <c r="H172" s="1"/>
      <c r="I172" s="1"/>
      <c r="J172" s="72">
        <f t="shared" si="32"/>
        <v>59.282095433527893</v>
      </c>
      <c r="K172" s="42" t="s">
        <v>2000</v>
      </c>
      <c r="L172" s="1">
        <f t="shared" si="33"/>
        <v>122</v>
      </c>
      <c r="M172" s="9">
        <f>(O172+O171)/2*M$3</f>
        <v>59.282095433527893</v>
      </c>
      <c r="N172" s="42" t="s">
        <v>2000</v>
      </c>
      <c r="O172" s="1">
        <f>O171+1</f>
        <v>122</v>
      </c>
      <c r="P172" s="13">
        <f t="shared" si="51"/>
        <v>59.579538623466412</v>
      </c>
      <c r="Q172" s="6" t="s">
        <v>1779</v>
      </c>
      <c r="R172" s="6">
        <f>2^11*5*13</f>
        <v>133120</v>
      </c>
      <c r="S172" s="6">
        <f>3^9*7</f>
        <v>137781</v>
      </c>
      <c r="T172" s="51">
        <f>$T171+T6</f>
        <v>59.57953862346627</v>
      </c>
      <c r="U172" s="69">
        <f>$T171+U6</f>
        <v>59.552578328263834</v>
      </c>
      <c r="V172" s="18" t="str">
        <f t="shared" si="52"/>
        <v/>
      </c>
      <c r="W172" s="18" t="str">
        <f t="shared" si="53"/>
        <v/>
      </c>
      <c r="X172" s="58" t="str">
        <f t="shared" si="54"/>
        <v/>
      </c>
    </row>
    <row r="173" spans="1:24" ht="13.5">
      <c r="A173" s="6"/>
      <c r="B173" s="6"/>
      <c r="C173" s="14"/>
      <c r="D173" s="6">
        <f>$M173</f>
        <v>59.770013914462275</v>
      </c>
      <c r="E173" s="4" t="s">
        <v>232</v>
      </c>
      <c r="F173" s="6">
        <v>25</v>
      </c>
      <c r="G173" s="6">
        <f>$M173</f>
        <v>59.770013914462275</v>
      </c>
      <c r="H173" s="4" t="s">
        <v>232</v>
      </c>
      <c r="I173" s="1">
        <v>31</v>
      </c>
      <c r="J173" s="72">
        <f t="shared" si="32"/>
        <v>59.770013914462275</v>
      </c>
      <c r="K173" s="4" t="s">
        <v>1776</v>
      </c>
      <c r="L173" s="1">
        <f t="shared" si="33"/>
        <v>123</v>
      </c>
      <c r="M173" s="9">
        <f>(O173+O172)/2*M$3</f>
        <v>59.770013914462275</v>
      </c>
      <c r="N173" s="4" t="s">
        <v>1776</v>
      </c>
      <c r="O173" s="1">
        <f>O172+1</f>
        <v>123</v>
      </c>
      <c r="P173" s="13">
        <f t="shared" si="51"/>
        <v>60.048818999514758</v>
      </c>
      <c r="Q173" s="23" t="s">
        <v>231</v>
      </c>
      <c r="R173" s="23">
        <f>5*17</f>
        <v>85</v>
      </c>
      <c r="S173" s="23">
        <f>2^3*11</f>
        <v>88</v>
      </c>
      <c r="T173" s="123">
        <f>$T174-T6</f>
        <v>59.989346661612807</v>
      </c>
      <c r="U173" s="99">
        <f>$T174-U6</f>
        <v>60.016306956815242</v>
      </c>
      <c r="V173" s="18" t="str">
        <f t="shared" si="52"/>
        <v/>
      </c>
      <c r="W173" s="18" t="str">
        <f t="shared" si="53"/>
        <v/>
      </c>
      <c r="X173" s="58" t="str">
        <f t="shared" si="54"/>
        <v/>
      </c>
    </row>
    <row r="174" spans="1:24" ht="13.5">
      <c r="A174" s="6"/>
      <c r="B174" s="6"/>
      <c r="C174" s="14"/>
      <c r="D174" s="6"/>
      <c r="E174" s="6"/>
      <c r="F174" s="6"/>
      <c r="G174" s="1"/>
      <c r="H174" s="1"/>
      <c r="I174" s="1"/>
      <c r="J174" s="72">
        <f t="shared" si="32"/>
        <v>60.257932395396665</v>
      </c>
      <c r="K174" s="4" t="s">
        <v>232</v>
      </c>
      <c r="L174" s="1">
        <f t="shared" si="33"/>
        <v>124</v>
      </c>
      <c r="M174" s="9">
        <f>(O174+O173)/2*M$3</f>
        <v>60.257932395396665</v>
      </c>
      <c r="N174" s="4" t="s">
        <v>232</v>
      </c>
      <c r="O174" s="1">
        <f>O173+1</f>
        <v>124</v>
      </c>
      <c r="P174" s="11">
        <f t="shared" si="51"/>
        <v>60.412062827567631</v>
      </c>
      <c r="Q174" s="12" t="s">
        <v>233</v>
      </c>
      <c r="R174" s="12">
        <f>11*2^6</f>
        <v>704</v>
      </c>
      <c r="S174" s="12">
        <f>3^6</f>
        <v>729</v>
      </c>
      <c r="T174" s="57">
        <f>P174</f>
        <v>60.412062827567631</v>
      </c>
      <c r="V174" s="18" t="str">
        <f t="shared" si="52"/>
        <v/>
      </c>
      <c r="W174" s="18" t="str">
        <f t="shared" si="53"/>
        <v/>
      </c>
      <c r="X174" s="58" t="str">
        <f t="shared" si="54"/>
        <v/>
      </c>
    </row>
    <row r="175" spans="1:24" ht="13.5">
      <c r="A175" s="6"/>
      <c r="B175" s="6"/>
      <c r="C175" s="14"/>
      <c r="D175" s="6"/>
      <c r="E175" s="6"/>
      <c r="F175" s="6"/>
      <c r="G175" s="1"/>
      <c r="H175" s="1"/>
      <c r="I175" s="1"/>
      <c r="J175" s="72"/>
      <c r="K175" s="4"/>
      <c r="L175" s="1"/>
      <c r="M175" s="9">
        <f>(P174+P175)/2</f>
        <v>60.511745020921978</v>
      </c>
      <c r="N175" s="70" t="s">
        <v>2053</v>
      </c>
      <c r="O175" s="68">
        <f>O174+(M175-M174)/$M$3</f>
        <v>124.5201947362995</v>
      </c>
      <c r="P175" s="13">
        <f>1200*LN($S175/$R175)/LN(2)</f>
        <v>60.611427214276333</v>
      </c>
      <c r="Q175" s="23" t="s">
        <v>2003</v>
      </c>
      <c r="R175" s="23">
        <f>3^4*5^5</f>
        <v>253125</v>
      </c>
      <c r="S175" s="23">
        <f>2^18</f>
        <v>262144</v>
      </c>
      <c r="T175" s="57">
        <f>$T171+$T10-T6</f>
        <v>60.687827079490781</v>
      </c>
      <c r="U175" s="57">
        <f>$T171+$T10-U6</f>
        <v>60.714787374693216</v>
      </c>
      <c r="V175" s="18" t="str">
        <f t="shared" ref="V175:V192" si="55">IF(T175&lt;$M175,"low",IF(T175&gt;$M176,"high",""))</f>
        <v/>
      </c>
      <c r="W175" s="18" t="str">
        <f t="shared" ref="W175:W192" si="56">IF(U175=0,"",IF(U175&lt;$M175,"low",IF(U175&gt;$M176,"high","")))</f>
        <v/>
      </c>
      <c r="X175" s="58" t="str">
        <f t="shared" si="54"/>
        <v/>
      </c>
    </row>
    <row r="176" spans="1:24" ht="13.5">
      <c r="A176" s="6"/>
      <c r="B176" s="6"/>
      <c r="C176" s="14"/>
      <c r="D176" s="6"/>
      <c r="E176" s="6"/>
      <c r="F176" s="6"/>
      <c r="G176" s="1"/>
      <c r="H176" s="1"/>
      <c r="I176" s="1"/>
      <c r="J176" s="72">
        <f t="shared" si="32"/>
        <v>60.745850876331048</v>
      </c>
      <c r="K176" s="4" t="s">
        <v>1987</v>
      </c>
      <c r="L176" s="1">
        <f t="shared" si="33"/>
        <v>125</v>
      </c>
      <c r="M176" s="9">
        <f>(O176+O174)/2*M$3</f>
        <v>60.745850876331048</v>
      </c>
      <c r="N176" s="4" t="s">
        <v>1987</v>
      </c>
      <c r="O176" s="1">
        <f>O174+1</f>
        <v>125</v>
      </c>
      <c r="P176" s="13">
        <f>1200*LN($S176/$R176)/LN(2)</f>
        <v>60.984466221463769</v>
      </c>
      <c r="Q176" s="6" t="s">
        <v>1773</v>
      </c>
      <c r="R176" s="6">
        <f>2^10*7</f>
        <v>7168</v>
      </c>
      <c r="S176" s="6">
        <f>3^3*5^2*11</f>
        <v>7425</v>
      </c>
      <c r="T176" s="57">
        <f>$T174+T6</f>
        <v>60.834778993522455</v>
      </c>
      <c r="U176" s="57">
        <f>$T174+U6</f>
        <v>60.80781869832002</v>
      </c>
      <c r="V176" s="18" t="str">
        <f t="shared" si="55"/>
        <v/>
      </c>
      <c r="W176" s="18" t="str">
        <f t="shared" si="56"/>
        <v/>
      </c>
      <c r="X176" s="58" t="str">
        <f t="shared" ref="X176:X192" si="57">IF(ABS(T176-T175)&lt;10^-10,"same","")</f>
        <v/>
      </c>
    </row>
    <row r="177" spans="1:24" ht="13.5">
      <c r="A177" s="6"/>
      <c r="B177" s="6"/>
      <c r="C177" s="14"/>
      <c r="D177" s="6"/>
      <c r="E177" s="6"/>
      <c r="F177" s="6"/>
      <c r="G177" s="1"/>
      <c r="H177" s="1"/>
      <c r="I177" s="1"/>
      <c r="J177" s="72">
        <f t="shared" si="32"/>
        <v>61.233769357265437</v>
      </c>
      <c r="K177" s="4" t="s">
        <v>1988</v>
      </c>
      <c r="L177" s="1">
        <f t="shared" si="33"/>
        <v>126</v>
      </c>
      <c r="M177" s="9">
        <f>(O177+O176)/2*M$3</f>
        <v>61.233769357265437</v>
      </c>
      <c r="N177" s="4" t="s">
        <v>1988</v>
      </c>
      <c r="O177" s="1">
        <f>O176+1</f>
        <v>126</v>
      </c>
      <c r="P177" s="13">
        <f>1200*LN($S177/$R177)/LN(2)</f>
        <v>61.510642057454952</v>
      </c>
      <c r="Q177" s="23" t="s">
        <v>2009</v>
      </c>
      <c r="R177" s="6">
        <f>2^18*5</f>
        <v>1310720</v>
      </c>
      <c r="S177" s="6">
        <f>3^10*23</f>
        <v>1358127</v>
      </c>
      <c r="T177" s="57">
        <f>$T174+T8</f>
        <v>61.244587031669226</v>
      </c>
      <c r="U177" s="68">
        <f>$T174+U8</f>
        <v>61.230534864274773</v>
      </c>
      <c r="V177" s="18" t="str">
        <f t="shared" si="55"/>
        <v/>
      </c>
      <c r="W177" s="18" t="str">
        <f t="shared" si="56"/>
        <v>low</v>
      </c>
      <c r="X177" s="58" t="str">
        <f t="shared" si="57"/>
        <v/>
      </c>
    </row>
    <row r="178" spans="1:24" ht="13.5">
      <c r="A178" s="6"/>
      <c r="B178" s="6"/>
      <c r="C178" s="14"/>
      <c r="D178" s="6">
        <f>$M178</f>
        <v>61.72168783819982</v>
      </c>
      <c r="E178" s="4" t="s">
        <v>243</v>
      </c>
      <c r="F178" s="6">
        <v>26</v>
      </c>
      <c r="G178" s="6">
        <f>$M178</f>
        <v>61.72168783819982</v>
      </c>
      <c r="H178" s="4" t="str">
        <f>IF($H$2="N",".(|\",IF($H$2="Y","'(|)","'(|)"))</f>
        <v>'(|)</v>
      </c>
      <c r="I178" s="1">
        <v>32</v>
      </c>
      <c r="J178" s="72">
        <f t="shared" si="32"/>
        <v>61.72168783819982</v>
      </c>
      <c r="K178" s="10" t="s">
        <v>234</v>
      </c>
      <c r="L178" s="1">
        <f t="shared" si="33"/>
        <v>127</v>
      </c>
      <c r="M178" s="9">
        <f>(O178+O177)/2*M$3</f>
        <v>61.72168783819982</v>
      </c>
      <c r="N178" s="140" t="s">
        <v>234</v>
      </c>
      <c r="O178" s="1">
        <f>O177+1</f>
        <v>127</v>
      </c>
      <c r="P178" s="13">
        <f>1200*LN($S178/$R178)/LN(2)</f>
        <v>62.002539787448633</v>
      </c>
      <c r="Q178" s="14" t="s">
        <v>235</v>
      </c>
      <c r="R178" s="14">
        <f>2^12*17</f>
        <v>69632</v>
      </c>
      <c r="S178" s="14">
        <f>3^8*11</f>
        <v>72171</v>
      </c>
      <c r="T178" s="69">
        <f>$T174+$T10-T6</f>
        <v>61.943067449546966</v>
      </c>
      <c r="U178" s="69">
        <f>$T174+$T10-U6</f>
        <v>61.970027744749402</v>
      </c>
      <c r="V178" s="18" t="str">
        <f t="shared" si="55"/>
        <v/>
      </c>
      <c r="W178" s="18" t="str">
        <f t="shared" si="56"/>
        <v/>
      </c>
      <c r="X178" s="58" t="str">
        <f t="shared" si="57"/>
        <v/>
      </c>
    </row>
    <row r="179" spans="1:24" ht="13.5">
      <c r="A179" s="6"/>
      <c r="B179" s="6"/>
      <c r="C179" s="14"/>
      <c r="D179" s="6"/>
      <c r="E179" s="6"/>
      <c r="F179" s="6"/>
      <c r="G179" s="1"/>
      <c r="H179" s="1"/>
      <c r="I179" s="1"/>
      <c r="J179" s="72">
        <f t="shared" si="32"/>
        <v>62.20960631913421</v>
      </c>
      <c r="K179" s="4" t="str">
        <f>IF($K$2="Y","'(|)",".(|\.")</f>
        <v>'(|)</v>
      </c>
      <c r="L179" s="1">
        <f t="shared" si="33"/>
        <v>128</v>
      </c>
      <c r="M179" s="9">
        <f>(O179+O178)/2*M$3</f>
        <v>62.20960631913421</v>
      </c>
      <c r="N179" s="10" t="s">
        <v>236</v>
      </c>
      <c r="O179" s="1">
        <f>O178+1</f>
        <v>128</v>
      </c>
      <c r="P179" s="13">
        <f t="shared" ref="P179:P184" si="58">1200*LN($S179/$R179)/LN(2)</f>
        <v>62.365783615502089</v>
      </c>
      <c r="Q179" s="6" t="s">
        <v>237</v>
      </c>
      <c r="R179" s="26">
        <f>2^21*11</f>
        <v>23068672</v>
      </c>
      <c r="S179" s="18">
        <f>3^14*5</f>
        <v>23914845</v>
      </c>
      <c r="T179" s="57">
        <f>$T174+$T10</f>
        <v>62.36578361550179</v>
      </c>
      <c r="V179" s="18" t="str">
        <f t="shared" si="55"/>
        <v/>
      </c>
      <c r="W179" s="18" t="str">
        <f t="shared" si="56"/>
        <v/>
      </c>
      <c r="X179" s="58" t="str">
        <f t="shared" si="57"/>
        <v/>
      </c>
    </row>
    <row r="180" spans="1:24" ht="13.5">
      <c r="A180" s="6">
        <f>$M180</f>
        <v>62.465465808856194</v>
      </c>
      <c r="B180" s="4" t="s">
        <v>247</v>
      </c>
      <c r="C180" s="14">
        <v>12</v>
      </c>
      <c r="D180" s="6"/>
      <c r="E180" s="6"/>
      <c r="F180" s="6"/>
      <c r="G180" s="6">
        <f>$M180</f>
        <v>62.465465808856194</v>
      </c>
      <c r="H180" s="4" t="s">
        <v>240</v>
      </c>
      <c r="I180" s="1">
        <f>IF($H$2="N",32,IF($H$2="Y",32.4,32.4))</f>
        <v>32.4</v>
      </c>
      <c r="J180" s="72">
        <f t="shared" si="32"/>
        <v>62.465465808856194</v>
      </c>
      <c r="K180" s="4" t="s">
        <v>238</v>
      </c>
      <c r="L180" s="68">
        <f t="shared" si="33"/>
        <v>128.52438983092421</v>
      </c>
      <c r="M180" s="9">
        <f>(P179+P180)/2</f>
        <v>62.465465808856194</v>
      </c>
      <c r="N180" s="4" t="s">
        <v>238</v>
      </c>
      <c r="O180" s="68">
        <f>O179+(M180-M179)/$M$3</f>
        <v>128.52438983092421</v>
      </c>
      <c r="P180" s="13">
        <f t="shared" si="58"/>
        <v>62.565148002210307</v>
      </c>
      <c r="Q180" s="6" t="s">
        <v>239</v>
      </c>
      <c r="R180" s="6">
        <f>5^4</f>
        <v>625</v>
      </c>
      <c r="S180" s="6">
        <f>2^3*3^4</f>
        <v>648</v>
      </c>
      <c r="T180" s="99">
        <f>$T186-$T10-T6</f>
        <v>62.53818770700785</v>
      </c>
      <c r="U180" s="99">
        <f>$T186-$T10-U6</f>
        <v>62.565148002210286</v>
      </c>
      <c r="V180" s="18" t="str">
        <f t="shared" si="55"/>
        <v/>
      </c>
      <c r="W180" s="18" t="str">
        <f t="shared" si="56"/>
        <v/>
      </c>
      <c r="X180" s="58" t="str">
        <f t="shared" si="57"/>
        <v/>
      </c>
    </row>
    <row r="181" spans="1:24" ht="13.5">
      <c r="A181" s="6"/>
      <c r="B181" s="6"/>
      <c r="C181" s="14"/>
      <c r="D181" s="6"/>
      <c r="E181" s="6"/>
      <c r="F181" s="6"/>
      <c r="G181" s="1"/>
      <c r="H181" s="1"/>
      <c r="I181" s="1"/>
      <c r="J181" s="72">
        <f t="shared" si="32"/>
        <v>62.697524800068592</v>
      </c>
      <c r="K181" s="4" t="s">
        <v>240</v>
      </c>
      <c r="L181" s="1">
        <f t="shared" si="33"/>
        <v>129</v>
      </c>
      <c r="M181" s="9">
        <f>(O181+O179)/2*M$3</f>
        <v>62.697524800068592</v>
      </c>
      <c r="N181" s="4" t="s">
        <v>240</v>
      </c>
      <c r="O181" s="1">
        <f>O179+1</f>
        <v>129</v>
      </c>
      <c r="P181" s="11">
        <f>1200*LN($S181/$R181)/LN(2)</f>
        <v>62.960903872962582</v>
      </c>
      <c r="Q181" s="12" t="s">
        <v>241</v>
      </c>
      <c r="R181" s="12">
        <f>3^3</f>
        <v>27</v>
      </c>
      <c r="S181" s="12">
        <f>2^2*7</f>
        <v>28</v>
      </c>
      <c r="T181" s="57">
        <f>$T186-$T10</f>
        <v>62.960903872962675</v>
      </c>
      <c r="V181" s="18" t="str">
        <f t="shared" si="55"/>
        <v/>
      </c>
      <c r="W181" s="18" t="str">
        <f t="shared" si="56"/>
        <v/>
      </c>
      <c r="X181" s="58" t="str">
        <f t="shared" si="57"/>
        <v/>
      </c>
    </row>
    <row r="182" spans="1:24" ht="13.5">
      <c r="A182" s="6"/>
      <c r="B182" s="6"/>
      <c r="C182" s="14"/>
      <c r="D182" s="6"/>
      <c r="E182" s="6"/>
      <c r="F182" s="6"/>
      <c r="G182" s="1"/>
      <c r="H182" s="1"/>
      <c r="I182" s="1"/>
      <c r="J182" s="72">
        <f t="shared" si="32"/>
        <v>63.185443281002982</v>
      </c>
      <c r="K182" s="4" t="s">
        <v>1989</v>
      </c>
      <c r="L182" s="1">
        <f t="shared" si="33"/>
        <v>130</v>
      </c>
      <c r="M182" s="9">
        <f>(O182+O181)/2*M$3</f>
        <v>63.185443281002982</v>
      </c>
      <c r="N182" s="4" t="s">
        <v>1989</v>
      </c>
      <c r="O182" s="1">
        <f>O181+1</f>
        <v>130</v>
      </c>
      <c r="P182" s="13">
        <f t="shared" si="58"/>
        <v>63.383620038917627</v>
      </c>
      <c r="Q182" s="6" t="s">
        <v>242</v>
      </c>
      <c r="R182" s="6">
        <f>3^5*5*13</f>
        <v>15795</v>
      </c>
      <c r="S182" s="6">
        <f>2^14</f>
        <v>16384</v>
      </c>
      <c r="T182" s="57">
        <f>$T186-$T10+T6</f>
        <v>63.383620038917499</v>
      </c>
      <c r="U182" s="57">
        <f>$T186-$T10+U6</f>
        <v>63.356659743715063</v>
      </c>
      <c r="V182" s="18" t="str">
        <f t="shared" si="55"/>
        <v/>
      </c>
      <c r="W182" s="18" t="str">
        <f t="shared" si="56"/>
        <v/>
      </c>
      <c r="X182" s="58" t="str">
        <f t="shared" si="57"/>
        <v/>
      </c>
    </row>
    <row r="183" spans="1:24" ht="13.5">
      <c r="A183" s="6"/>
      <c r="B183" s="6"/>
      <c r="C183" s="14"/>
      <c r="D183" s="6"/>
      <c r="E183" s="6"/>
      <c r="F183" s="6"/>
      <c r="G183" s="6">
        <f>$M183</f>
        <v>63.673361761937365</v>
      </c>
      <c r="H183" s="4" t="str">
        <f>IF($H$2="N","(|\",IF($H$2="Y","(|\","|\\"))</f>
        <v>|\\</v>
      </c>
      <c r="I183" s="1">
        <v>33</v>
      </c>
      <c r="J183" s="72">
        <f t="shared" si="32"/>
        <v>63.673361761937365</v>
      </c>
      <c r="K183" s="4" t="s">
        <v>243</v>
      </c>
      <c r="L183" s="1">
        <f t="shared" si="33"/>
        <v>131</v>
      </c>
      <c r="M183" s="9">
        <f>(O183+O182)/2*M$3</f>
        <v>63.673361761937365</v>
      </c>
      <c r="N183" s="4" t="s">
        <v>243</v>
      </c>
      <c r="O183" s="1">
        <f>O182+1</f>
        <v>131</v>
      </c>
      <c r="P183" s="11">
        <f t="shared" si="58"/>
        <v>63.790081556032519</v>
      </c>
      <c r="Q183" s="12" t="s">
        <v>244</v>
      </c>
      <c r="R183" s="15">
        <f>2^15*11</f>
        <v>360448</v>
      </c>
      <c r="S183" s="12">
        <f>3^9*19</f>
        <v>373977</v>
      </c>
      <c r="T183" s="57">
        <f>P183</f>
        <v>63.790081556032519</v>
      </c>
      <c r="V183" s="18" t="str">
        <f t="shared" si="55"/>
        <v/>
      </c>
      <c r="W183" s="18" t="str">
        <f t="shared" si="56"/>
        <v/>
      </c>
      <c r="X183" s="58" t="str">
        <f t="shared" si="57"/>
        <v/>
      </c>
    </row>
    <row r="184" spans="1:24" ht="13.5">
      <c r="A184" s="6"/>
      <c r="B184" s="6"/>
      <c r="C184" s="14"/>
      <c r="D184" s="6">
        <f>$M184</f>
        <v>64.161280242871754</v>
      </c>
      <c r="E184" s="4" t="s">
        <v>247</v>
      </c>
      <c r="F184" s="6">
        <v>27</v>
      </c>
      <c r="G184" s="6">
        <f>$M184</f>
        <v>64.161280242871754</v>
      </c>
      <c r="H184" s="4" t="s">
        <v>247</v>
      </c>
      <c r="I184" s="1">
        <f>IF($H$2="N",33,IF($H$2="Y",33,33.2))</f>
        <v>33.200000000000003</v>
      </c>
      <c r="J184" s="72">
        <f t="shared" si="32"/>
        <v>64.161280242871754</v>
      </c>
      <c r="K184" s="4" t="s">
        <v>245</v>
      </c>
      <c r="L184" s="1">
        <f t="shared" si="33"/>
        <v>132</v>
      </c>
      <c r="M184" s="9">
        <f>(O184+O183)/2*M$3</f>
        <v>64.161280242871754</v>
      </c>
      <c r="N184" s="42" t="s">
        <v>2055</v>
      </c>
      <c r="O184" s="1">
        <f>O183+1</f>
        <v>132</v>
      </c>
      <c r="P184" s="13">
        <f t="shared" si="58"/>
        <v>64.193427379454349</v>
      </c>
      <c r="Q184" s="23" t="s">
        <v>2025</v>
      </c>
      <c r="R184" s="23">
        <f>2^8*7^3</f>
        <v>87808</v>
      </c>
      <c r="S184" s="23">
        <f>3^6*5^3</f>
        <v>91125</v>
      </c>
      <c r="T184" s="69">
        <f>$T183+T6</f>
        <v>64.212797721987343</v>
      </c>
      <c r="U184" s="69">
        <f>$T183+U6</f>
        <v>64.185837426784914</v>
      </c>
      <c r="V184" s="18" t="str">
        <f t="shared" si="55"/>
        <v/>
      </c>
      <c r="W184" s="18" t="str">
        <f t="shared" si="56"/>
        <v/>
      </c>
      <c r="X184" s="58" t="str">
        <f t="shared" si="57"/>
        <v/>
      </c>
    </row>
    <row r="185" spans="1:24" ht="13.5">
      <c r="A185" s="6"/>
      <c r="B185" s="6"/>
      <c r="C185" s="14"/>
      <c r="D185" s="6"/>
      <c r="E185" s="4"/>
      <c r="F185" s="6"/>
      <c r="G185" s="1"/>
      <c r="H185" s="1"/>
      <c r="I185" s="1"/>
      <c r="J185" s="72"/>
      <c r="K185" s="4"/>
      <c r="L185" s="1"/>
      <c r="M185" s="9">
        <f>(P184+P185)/2</f>
        <v>64.356148084799514</v>
      </c>
      <c r="N185" s="4" t="s">
        <v>245</v>
      </c>
      <c r="O185" s="68">
        <f>O184+(M185-M184)/$M$3</f>
        <v>132.39938606456263</v>
      </c>
      <c r="P185" s="11">
        <f t="shared" ref="P185:P192" si="59">1200*LN($S185/$R185)/LN(2)</f>
        <v>64.518868790144666</v>
      </c>
      <c r="Q185" s="12" t="s">
        <v>246</v>
      </c>
      <c r="R185" s="12">
        <f>5^3*2^12</f>
        <v>512000</v>
      </c>
      <c r="S185" s="12">
        <f>3^12</f>
        <v>531441</v>
      </c>
      <c r="T185" s="57">
        <f>$T186-T6</f>
        <v>64.49190849494201</v>
      </c>
      <c r="U185" s="57">
        <f>$T186-U6</f>
        <v>64.518868790144438</v>
      </c>
      <c r="V185" s="18" t="str">
        <f t="shared" si="55"/>
        <v/>
      </c>
      <c r="W185" s="18" t="str">
        <f t="shared" si="56"/>
        <v/>
      </c>
      <c r="X185" s="58" t="str">
        <f t="shared" si="57"/>
        <v/>
      </c>
    </row>
    <row r="186" spans="1:24" ht="13.5">
      <c r="A186" s="6"/>
      <c r="B186" s="6"/>
      <c r="C186" s="14"/>
      <c r="D186" s="6"/>
      <c r="E186" s="6"/>
      <c r="F186" s="6"/>
      <c r="G186" s="1"/>
      <c r="H186" s="1"/>
      <c r="I186" s="1"/>
      <c r="J186" s="72">
        <f t="shared" si="32"/>
        <v>64.649198723806137</v>
      </c>
      <c r="K186" s="4" t="s">
        <v>247</v>
      </c>
      <c r="L186" s="1">
        <f t="shared" si="33"/>
        <v>133</v>
      </c>
      <c r="M186" s="9">
        <f>(O186+O184)/2*M$3</f>
        <v>64.649198723806137</v>
      </c>
      <c r="N186" s="4" t="s">
        <v>247</v>
      </c>
      <c r="O186" s="1">
        <f>O184+1</f>
        <v>133</v>
      </c>
      <c r="P186" s="11">
        <f t="shared" si="59"/>
        <v>64.914624660896834</v>
      </c>
      <c r="Q186" s="12" t="s">
        <v>248</v>
      </c>
      <c r="R186" s="12">
        <f>2^13</f>
        <v>8192</v>
      </c>
      <c r="S186" s="15">
        <f>3^5*5*7</f>
        <v>8505</v>
      </c>
      <c r="T186" s="57">
        <f>P186</f>
        <v>64.914624660896834</v>
      </c>
      <c r="V186" s="18" t="str">
        <f t="shared" si="55"/>
        <v/>
      </c>
      <c r="W186" s="18" t="str">
        <f t="shared" si="56"/>
        <v/>
      </c>
      <c r="X186" s="58" t="str">
        <f t="shared" si="57"/>
        <v/>
      </c>
    </row>
    <row r="187" spans="1:24" ht="13.5">
      <c r="A187" s="6"/>
      <c r="B187" s="6"/>
      <c r="C187" s="14"/>
      <c r="D187" s="6"/>
      <c r="E187" s="6"/>
      <c r="F187" s="6"/>
      <c r="G187" s="1"/>
      <c r="H187" s="1"/>
      <c r="I187" s="1"/>
      <c r="J187" s="72">
        <f t="shared" si="32"/>
        <v>65.13711720474052</v>
      </c>
      <c r="K187" s="4" t="s">
        <v>249</v>
      </c>
      <c r="L187" s="1">
        <f t="shared" si="33"/>
        <v>134</v>
      </c>
      <c r="M187" s="9">
        <f t="shared" ref="M187:M193" si="60">(O187+O186)/2*M$3</f>
        <v>65.13711720474052</v>
      </c>
      <c r="N187" s="4" t="s">
        <v>249</v>
      </c>
      <c r="O187" s="1">
        <f t="shared" ref="O187:O193" si="61">O186+1</f>
        <v>134</v>
      </c>
      <c r="P187" s="11">
        <f t="shared" si="59"/>
        <v>65.337340826851815</v>
      </c>
      <c r="Q187" s="12" t="s">
        <v>250</v>
      </c>
      <c r="R187" s="12">
        <f>13*2</f>
        <v>26</v>
      </c>
      <c r="S187" s="12">
        <f>3^3</f>
        <v>27</v>
      </c>
      <c r="T187" s="57">
        <f>$T186+T6</f>
        <v>65.337340826851658</v>
      </c>
      <c r="U187" s="99">
        <f>$T186+U6</f>
        <v>65.31038053164923</v>
      </c>
      <c r="V187" s="18" t="str">
        <f t="shared" si="55"/>
        <v/>
      </c>
      <c r="W187" s="18" t="str">
        <f t="shared" si="56"/>
        <v/>
      </c>
      <c r="X187" s="58" t="str">
        <f t="shared" si="57"/>
        <v/>
      </c>
    </row>
    <row r="188" spans="1:24" ht="13.5">
      <c r="A188" s="6"/>
      <c r="B188" s="6"/>
      <c r="C188" s="14"/>
      <c r="D188" s="6"/>
      <c r="E188" s="6"/>
      <c r="F188" s="6"/>
      <c r="G188" s="1"/>
      <c r="H188" s="1"/>
      <c r="I188" s="1"/>
      <c r="J188" s="72">
        <f t="shared" si="32"/>
        <v>65.625035685674916</v>
      </c>
      <c r="K188" s="4" t="s">
        <v>261</v>
      </c>
      <c r="L188" s="1">
        <f t="shared" si="33"/>
        <v>135</v>
      </c>
      <c r="M188" s="9">
        <f t="shared" si="60"/>
        <v>65.625035685674916</v>
      </c>
      <c r="N188" s="43" t="s">
        <v>261</v>
      </c>
      <c r="O188" s="1">
        <f t="shared" si="61"/>
        <v>135</v>
      </c>
      <c r="P188" s="13">
        <f t="shared" si="59"/>
        <v>65.747148864998536</v>
      </c>
      <c r="Q188" s="6" t="s">
        <v>2033</v>
      </c>
      <c r="R188" s="25">
        <f>2^8*11</f>
        <v>2816</v>
      </c>
      <c r="S188" s="6">
        <f>3^2*5^2*13</f>
        <v>2925</v>
      </c>
      <c r="T188" s="57">
        <f>$T186+T8</f>
        <v>65.747148864998437</v>
      </c>
      <c r="U188" s="57">
        <f>$T186+U8</f>
        <v>65.733096697603983</v>
      </c>
      <c r="V188" s="18" t="str">
        <f t="shared" si="55"/>
        <v/>
      </c>
      <c r="W188" s="18" t="str">
        <f t="shared" si="56"/>
        <v/>
      </c>
      <c r="X188" s="58" t="str">
        <f t="shared" si="57"/>
        <v/>
      </c>
    </row>
    <row r="189" spans="1:24" ht="13.5">
      <c r="A189" s="6"/>
      <c r="B189" s="6"/>
      <c r="C189" s="14"/>
      <c r="D189" s="6">
        <f>$M189</f>
        <v>66.112954166609299</v>
      </c>
      <c r="E189" s="4" t="s">
        <v>1790</v>
      </c>
      <c r="F189" s="6">
        <v>28</v>
      </c>
      <c r="G189" s="6">
        <f>$M189</f>
        <v>66.112954166609299</v>
      </c>
      <c r="H189" s="4" t="s">
        <v>1790</v>
      </c>
      <c r="I189" s="1">
        <v>34</v>
      </c>
      <c r="J189" s="72">
        <f t="shared" si="32"/>
        <v>66.112954166609299</v>
      </c>
      <c r="K189" s="90" t="s">
        <v>2056</v>
      </c>
      <c r="L189" s="1">
        <f t="shared" si="33"/>
        <v>136</v>
      </c>
      <c r="M189" s="9">
        <f t="shared" si="60"/>
        <v>66.112954166609299</v>
      </c>
      <c r="N189" s="90" t="s">
        <v>2056</v>
      </c>
      <c r="O189" s="1">
        <f t="shared" si="61"/>
        <v>136</v>
      </c>
      <c r="P189" s="13">
        <f t="shared" si="59"/>
        <v>66.250969033747197</v>
      </c>
      <c r="Q189" s="21" t="s">
        <v>1919</v>
      </c>
      <c r="R189" s="21">
        <f>2^9*37</f>
        <v>18944</v>
      </c>
      <c r="S189" s="21">
        <f>3^9</f>
        <v>19683</v>
      </c>
      <c r="T189" s="99">
        <f>$T191-T8</f>
        <v>66.458537410684045</v>
      </c>
      <c r="U189" s="99">
        <f>$T191-U8</f>
        <v>66.472589578078498</v>
      </c>
      <c r="V189" s="18" t="str">
        <f t="shared" si="55"/>
        <v/>
      </c>
      <c r="W189" s="18" t="str">
        <f t="shared" si="56"/>
        <v/>
      </c>
      <c r="X189" s="58" t="str">
        <f t="shared" si="57"/>
        <v/>
      </c>
    </row>
    <row r="190" spans="1:24" ht="13.5">
      <c r="A190" s="6"/>
      <c r="B190" s="6"/>
      <c r="C190" s="14"/>
      <c r="D190" s="6"/>
      <c r="E190" s="6"/>
      <c r="F190" s="6"/>
      <c r="G190" s="1"/>
      <c r="H190" s="1"/>
      <c r="I190" s="1"/>
      <c r="J190" s="72">
        <f t="shared" si="32"/>
        <v>66.600872647543682</v>
      </c>
      <c r="K190" s="42" t="s">
        <v>2057</v>
      </c>
      <c r="L190" s="1">
        <f t="shared" si="33"/>
        <v>137</v>
      </c>
      <c r="M190" s="9">
        <f t="shared" si="60"/>
        <v>66.600872647543682</v>
      </c>
      <c r="N190" s="42" t="s">
        <v>2057</v>
      </c>
      <c r="O190" s="1">
        <f t="shared" si="61"/>
        <v>137</v>
      </c>
      <c r="P190" s="13">
        <f t="shared" si="59"/>
        <v>66.868345448830993</v>
      </c>
      <c r="Q190" s="21" t="s">
        <v>1783</v>
      </c>
      <c r="R190" s="120">
        <f>2^28</f>
        <v>268435456</v>
      </c>
      <c r="S190" s="120">
        <f>3^13*5^2*7</f>
        <v>279006525</v>
      </c>
      <c r="T190" s="69">
        <f>$T191-T6</f>
        <v>66.868345448830823</v>
      </c>
      <c r="U190" s="13">
        <f>$T191-U6</f>
        <v>66.895305744033251</v>
      </c>
      <c r="V190" s="18" t="str">
        <f t="shared" si="55"/>
        <v/>
      </c>
      <c r="W190" s="18" t="str">
        <f t="shared" si="56"/>
        <v/>
      </c>
      <c r="X190" s="58" t="str">
        <f t="shared" si="57"/>
        <v/>
      </c>
    </row>
    <row r="191" spans="1:24" ht="13.5">
      <c r="A191" s="6"/>
      <c r="B191" s="6"/>
      <c r="C191" s="14"/>
      <c r="D191" s="6"/>
      <c r="E191" s="6"/>
      <c r="F191" s="6"/>
      <c r="G191" s="1"/>
      <c r="H191" s="1"/>
      <c r="I191" s="1"/>
      <c r="J191" s="72">
        <f t="shared" si="32"/>
        <v>67.088791128478064</v>
      </c>
      <c r="K191" s="4" t="s">
        <v>1790</v>
      </c>
      <c r="L191" s="1">
        <f t="shared" si="33"/>
        <v>138</v>
      </c>
      <c r="M191" s="9">
        <f t="shared" si="60"/>
        <v>67.088791128478064</v>
      </c>
      <c r="N191" s="4" t="s">
        <v>1790</v>
      </c>
      <c r="O191" s="1">
        <f t="shared" si="61"/>
        <v>138</v>
      </c>
      <c r="P191" s="13">
        <f t="shared" si="59"/>
        <v>67.291061614785647</v>
      </c>
      <c r="Q191" s="14" t="s">
        <v>260</v>
      </c>
      <c r="R191" s="14">
        <f>2^16*13</f>
        <v>851968</v>
      </c>
      <c r="S191" s="14">
        <f>3^11*5</f>
        <v>885735</v>
      </c>
      <c r="T191" s="57">
        <f>P191</f>
        <v>67.291061614785647</v>
      </c>
      <c r="V191" s="18" t="str">
        <f t="shared" si="55"/>
        <v/>
      </c>
      <c r="W191" s="18" t="str">
        <f t="shared" si="56"/>
        <v/>
      </c>
      <c r="X191" s="58" t="str">
        <f t="shared" si="57"/>
        <v/>
      </c>
    </row>
    <row r="192" spans="1:24" ht="13.5">
      <c r="A192" s="6"/>
      <c r="B192" s="6"/>
      <c r="C192" s="14"/>
      <c r="D192" s="6"/>
      <c r="E192" s="6"/>
      <c r="F192" s="6"/>
      <c r="G192" s="6"/>
      <c r="H192" s="1"/>
      <c r="I192" s="1"/>
      <c r="J192" s="72">
        <f t="shared" si="32"/>
        <v>67.576709609412447</v>
      </c>
      <c r="K192" s="4" t="s">
        <v>1791</v>
      </c>
      <c r="L192" s="1">
        <f t="shared" si="33"/>
        <v>139</v>
      </c>
      <c r="M192" s="9">
        <f t="shared" si="60"/>
        <v>67.576709609412447</v>
      </c>
      <c r="N192" s="4" t="s">
        <v>1791</v>
      </c>
      <c r="O192" s="1">
        <f t="shared" si="61"/>
        <v>139</v>
      </c>
      <c r="P192" s="13">
        <f t="shared" si="59"/>
        <v>67.90023403964102</v>
      </c>
      <c r="Q192" s="6" t="s">
        <v>253</v>
      </c>
      <c r="R192" s="6">
        <f>5^2</f>
        <v>25</v>
      </c>
      <c r="S192" s="6">
        <f>2*13</f>
        <v>26</v>
      </c>
      <c r="T192" s="57">
        <f>$T191+T6</f>
        <v>67.713777780740472</v>
      </c>
      <c r="U192" s="57">
        <f>$T191+U6</f>
        <v>67.686817485538043</v>
      </c>
      <c r="V192" s="18" t="str">
        <f t="shared" si="55"/>
        <v/>
      </c>
      <c r="W192" s="18" t="str">
        <f t="shared" si="56"/>
        <v/>
      </c>
      <c r="X192" s="58" t="str">
        <f t="shared" si="57"/>
        <v/>
      </c>
    </row>
    <row r="193" spans="1:24" ht="13.5">
      <c r="A193" s="6">
        <f>$M193</f>
        <v>68.064628090346844</v>
      </c>
      <c r="B193" s="6"/>
      <c r="C193" s="14">
        <v>13</v>
      </c>
      <c r="D193" s="6">
        <f>$M193</f>
        <v>68.064628090346844</v>
      </c>
      <c r="E193" s="6"/>
      <c r="F193" s="6">
        <v>29</v>
      </c>
      <c r="G193" s="6">
        <f>$M193</f>
        <v>68.064628090346844</v>
      </c>
      <c r="H193" s="1"/>
      <c r="I193" s="1">
        <v>35</v>
      </c>
      <c r="J193" s="72">
        <f t="shared" si="32"/>
        <v>68.064628090346844</v>
      </c>
      <c r="K193" s="4"/>
      <c r="L193" s="1">
        <f t="shared" si="33"/>
        <v>140</v>
      </c>
      <c r="M193" s="9">
        <f t="shared" si="60"/>
        <v>68.064628090346844</v>
      </c>
      <c r="N193" s="10"/>
      <c r="O193" s="1">
        <f t="shared" si="61"/>
        <v>140</v>
      </c>
      <c r="P193" s="6"/>
      <c r="Q193" s="6"/>
      <c r="R193" s="6"/>
      <c r="S193" s="6"/>
      <c r="V193" s="18"/>
      <c r="W193" s="18"/>
      <c r="X193" s="58"/>
    </row>
    <row r="194" spans="1:24">
      <c r="G194" s="2"/>
      <c r="H194" s="2"/>
      <c r="I194" s="2"/>
      <c r="J194" s="2"/>
      <c r="K194" s="2"/>
      <c r="L194" s="2"/>
      <c r="M194" s="1"/>
      <c r="N194" s="1"/>
      <c r="O194" s="1"/>
      <c r="P194" s="6"/>
      <c r="Q194" s="6"/>
      <c r="R194" s="6"/>
      <c r="S194" s="6"/>
    </row>
    <row r="195" spans="1:24">
      <c r="A195" s="6"/>
      <c r="B195" s="6"/>
      <c r="C195" s="6"/>
      <c r="D195" s="6"/>
      <c r="E195" s="6"/>
      <c r="F195" s="6"/>
      <c r="G195" s="6"/>
    </row>
    <row r="196" spans="1:24">
      <c r="A196" s="6"/>
      <c r="B196" s="6"/>
      <c r="C196" s="6"/>
      <c r="D196" s="6"/>
      <c r="E196" s="6"/>
      <c r="F196" s="6"/>
      <c r="G196" s="6"/>
    </row>
    <row r="197" spans="1:24">
      <c r="A197" s="6"/>
      <c r="B197" s="6"/>
      <c r="C197" s="6"/>
      <c r="D197" s="6"/>
      <c r="E197" s="6"/>
      <c r="F197" s="6"/>
      <c r="G197" s="6"/>
    </row>
    <row r="198" spans="1:24">
      <c r="A198" s="6"/>
      <c r="B198" s="6"/>
      <c r="C198" s="6"/>
      <c r="D198" s="6"/>
      <c r="E198" s="6"/>
      <c r="F198" s="6"/>
      <c r="G198" s="6"/>
    </row>
    <row r="199" spans="1:24">
      <c r="A199" s="6"/>
      <c r="B199" s="6"/>
      <c r="C199" s="6"/>
      <c r="D199" s="6"/>
      <c r="E199" s="6"/>
      <c r="F199" s="6"/>
      <c r="G199" s="6"/>
    </row>
    <row r="200" spans="1:24">
      <c r="A200" s="6"/>
      <c r="B200" s="6"/>
      <c r="C200" s="6"/>
      <c r="D200" s="6"/>
      <c r="E200" s="6"/>
      <c r="F200" s="6"/>
      <c r="G200" s="6"/>
    </row>
    <row r="201" spans="1:24">
      <c r="A201" s="6"/>
      <c r="B201" s="6"/>
      <c r="C201" s="6"/>
      <c r="D201" s="6"/>
      <c r="E201" s="6"/>
      <c r="F201" s="6"/>
      <c r="G201" s="6"/>
    </row>
    <row r="202" spans="1:24">
      <c r="A202" s="6"/>
      <c r="B202" s="6"/>
      <c r="C202" s="6"/>
      <c r="D202" s="6"/>
      <c r="E202" s="6"/>
      <c r="F202" s="6"/>
      <c r="G202" s="6"/>
    </row>
    <row r="203" spans="1:24">
      <c r="A203" s="6"/>
      <c r="B203" s="6"/>
      <c r="C203" s="6"/>
      <c r="D203" s="6"/>
      <c r="E203" s="6"/>
      <c r="F203" s="6"/>
      <c r="G203" s="6"/>
    </row>
    <row r="204" spans="1:24">
      <c r="A204" s="6"/>
      <c r="B204" s="6"/>
      <c r="C204" s="6"/>
      <c r="D204" s="6"/>
      <c r="E204" s="6"/>
      <c r="F204" s="6"/>
      <c r="G204" s="6"/>
    </row>
    <row r="205" spans="1:24">
      <c r="A205" s="6"/>
      <c r="B205" s="6"/>
      <c r="C205" s="6"/>
      <c r="D205" s="6"/>
      <c r="E205" s="6"/>
      <c r="F205" s="6"/>
      <c r="G205" s="6"/>
    </row>
    <row r="206" spans="1:24">
      <c r="A206" s="6"/>
      <c r="B206" s="6"/>
      <c r="C206" s="6"/>
      <c r="D206" s="6"/>
      <c r="E206" s="6"/>
      <c r="F206" s="6"/>
      <c r="G206" s="6"/>
    </row>
    <row r="207" spans="1:24">
      <c r="A207" s="6"/>
      <c r="B207" s="6"/>
      <c r="C207" s="6"/>
      <c r="D207" s="6"/>
      <c r="E207" s="6"/>
      <c r="F207" s="6"/>
      <c r="G207" s="6"/>
    </row>
    <row r="208" spans="1:24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</sheetData>
  <phoneticPr fontId="0" type="noConversion"/>
  <pageMargins left="0.75" right="0.75" top="1" bottom="1" header="0.5" footer="0.5"/>
  <pageSetup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869"/>
  <sheetViews>
    <sheetView tabSelected="1" workbookViewId="0">
      <pane xSplit="7" ySplit="2" topLeftCell="L3" activePane="bottomRight" state="frozen"/>
      <selection pane="topRight" activeCell="H1" sqref="H1"/>
      <selection pane="bottomLeft" activeCell="A3" sqref="A3"/>
      <selection pane="bottomRight" activeCell="AA25" sqref="AA25"/>
    </sheetView>
  </sheetViews>
  <sheetFormatPr defaultRowHeight="12.75"/>
  <cols>
    <col min="1" max="3" width="9.5703125" customWidth="1"/>
    <col min="4" max="4" width="7.28515625" customWidth="1"/>
    <col min="5" max="5" width="4.140625" customWidth="1"/>
    <col min="6" max="6" width="7.5703125" customWidth="1"/>
    <col min="7" max="8" width="6.7109375" customWidth="1"/>
    <col min="9" max="9" width="6.85546875" customWidth="1"/>
    <col min="10" max="10" width="3.28515625" customWidth="1"/>
    <col min="11" max="11" width="5.140625" customWidth="1"/>
    <col min="12" max="12" width="3.140625" customWidth="1"/>
    <col min="13" max="13" width="5.28515625" customWidth="1"/>
    <col min="14" max="14" width="3.140625" customWidth="1"/>
    <col min="15" max="15" width="5.28515625" customWidth="1"/>
    <col min="16" max="16" width="0.42578125" customWidth="1"/>
    <col min="17" max="17" width="7.140625" customWidth="1"/>
    <col min="18" max="18" width="4.28515625" customWidth="1"/>
    <col min="19" max="19" width="8.28515625" customWidth="1"/>
    <col min="20" max="22" width="5.140625" customWidth="1"/>
  </cols>
  <sheetData>
    <row r="1" spans="1:27">
      <c r="A1" s="6" t="s">
        <v>2</v>
      </c>
      <c r="B1" s="53"/>
      <c r="D1" s="6" t="s">
        <v>2</v>
      </c>
      <c r="E1" s="64" t="s">
        <v>1929</v>
      </c>
      <c r="F1" s="64" t="s">
        <v>1924</v>
      </c>
      <c r="G1" s="66" t="s">
        <v>1926</v>
      </c>
      <c r="H1" s="6"/>
      <c r="I1" s="64"/>
      <c r="J1" s="79" t="s">
        <v>257</v>
      </c>
      <c r="K1" s="79"/>
      <c r="L1" s="75" t="s">
        <v>256</v>
      </c>
      <c r="M1" s="75"/>
      <c r="N1" s="76" t="s">
        <v>255</v>
      </c>
      <c r="O1" s="76"/>
      <c r="P1" s="88" t="s">
        <v>1945</v>
      </c>
      <c r="Q1" s="77" t="s">
        <v>259</v>
      </c>
      <c r="R1" s="89"/>
      <c r="S1" s="78" t="s">
        <v>1944</v>
      </c>
      <c r="T1" s="32"/>
      <c r="U1" s="32"/>
      <c r="V1" s="32"/>
    </row>
    <row r="2" spans="1:27">
      <c r="A2" s="6" t="s">
        <v>5</v>
      </c>
      <c r="B2" s="7" t="s">
        <v>2</v>
      </c>
      <c r="C2" t="s">
        <v>6</v>
      </c>
      <c r="D2" s="6" t="s">
        <v>4</v>
      </c>
      <c r="E2" s="64" t="s">
        <v>1930</v>
      </c>
      <c r="F2" s="64" t="s">
        <v>1925</v>
      </c>
      <c r="G2" s="6" t="s">
        <v>1795</v>
      </c>
      <c r="H2" s="6" t="s">
        <v>1794</v>
      </c>
      <c r="I2" s="67" t="s">
        <v>1927</v>
      </c>
      <c r="J2" s="93" t="s">
        <v>258</v>
      </c>
      <c r="K2" s="93" t="s">
        <v>254</v>
      </c>
      <c r="L2" s="94" t="s">
        <v>258</v>
      </c>
      <c r="M2" s="94" t="s">
        <v>254</v>
      </c>
      <c r="N2" s="50" t="s">
        <v>258</v>
      </c>
      <c r="O2" s="50" t="s">
        <v>254</v>
      </c>
      <c r="P2" s="95" t="s">
        <v>1945</v>
      </c>
      <c r="Q2" s="86" t="s">
        <v>254</v>
      </c>
      <c r="R2" s="96" t="s">
        <v>258</v>
      </c>
      <c r="S2" s="49" t="s">
        <v>254</v>
      </c>
      <c r="T2" s="49" t="s">
        <v>2066</v>
      </c>
      <c r="U2" s="49" t="s">
        <v>2067</v>
      </c>
      <c r="V2" s="49" t="s">
        <v>2074</v>
      </c>
      <c r="Z2" s="62"/>
      <c r="AA2" s="62"/>
    </row>
    <row r="3" spans="1:27" ht="13.5">
      <c r="A3" s="80" t="s">
        <v>7</v>
      </c>
      <c r="B3" s="80">
        <v>1</v>
      </c>
      <c r="C3" s="80">
        <v>1</v>
      </c>
      <c r="D3" s="13">
        <f t="shared" ref="D3:D34" si="0">1200*LN($C3/$B3)/LN(2)</f>
        <v>0</v>
      </c>
      <c r="E3" s="22">
        <v>1</v>
      </c>
      <c r="F3" s="65">
        <v>3.8291333729240122E-3</v>
      </c>
      <c r="G3" s="25">
        <v>1</v>
      </c>
      <c r="H3" s="6">
        <v>1</v>
      </c>
      <c r="I3" s="65">
        <v>0</v>
      </c>
      <c r="J3" s="81">
        <f>VLOOKUP($D3,Sheet1!$A$5:$C$192,3,TRUE)</f>
        <v>0</v>
      </c>
      <c r="K3" s="82" t="str">
        <f>VLOOKUP($D3,Sheet1!$A$5:$C$192,2,TRUE)</f>
        <v/>
      </c>
      <c r="L3" s="81">
        <f>FLOOR(VLOOKUP($D3,Sheet1!$D$5:$F$192,3,TRUE),1)</f>
        <v>0</v>
      </c>
      <c r="M3" s="82" t="str">
        <f>VLOOKUP($D3,Sheet1!$D$5:$F$192,2,TRUE)</f>
        <v/>
      </c>
      <c r="N3" s="81">
        <f>FLOOR(VLOOKUP($D3,Sheet1!$G$5:$I$192,3,TRUE),1)</f>
        <v>0</v>
      </c>
      <c r="O3" s="82" t="str">
        <f>VLOOKUP($D3,Sheet1!$G$5:$I$192,2,TRUE)</f>
        <v/>
      </c>
      <c r="P3" s="81">
        <v>1</v>
      </c>
      <c r="Q3" s="82" t="str">
        <f>VLOOKUP($D3,Sheet1!$J$5:$L$192,2,TRUE)</f>
        <v/>
      </c>
      <c r="R3" s="81">
        <f>FLOOR(VLOOKUP($D3,Sheet1!$M$5:$O$192,3,TRUE),1)</f>
        <v>0</v>
      </c>
      <c r="S3" s="82" t="str">
        <f>VLOOKUP($D3,Sheet1!$M$5:$O$192,2,TRUE)</f>
        <v/>
      </c>
      <c r="T3" s="111" t="str">
        <f>IF(ABS(D3-VLOOKUP($D3,Sheet1!$M$5:$T$192,8,TRUE))&lt;10^-10,"SoCA",D3-VLOOKUP($D3,Sheet1!$M$5:$T$192,8,TRUE))</f>
        <v>SoCA</v>
      </c>
      <c r="U3" s="110" t="str">
        <f>IF(VLOOKUP($D3,Sheet1!$M$5:$U$192,9,TRUE)=0,"",IF(ABS(D3-VLOOKUP($D3,Sheet1!$M$5:$U$192,9,TRUE))&lt;10^-10,"Alt.",D3-VLOOKUP($D3,Sheet1!$M$5:$U$192,9,TRUE)))</f>
        <v/>
      </c>
      <c r="V3" s="135">
        <f>$D3-Sheet1!$M$3*$R3</f>
        <v>0</v>
      </c>
      <c r="Z3" s="6"/>
      <c r="AA3" s="61"/>
    </row>
    <row r="4" spans="1:27" ht="13.5">
      <c r="A4" t="s">
        <v>1221</v>
      </c>
      <c r="B4">
        <v>14336</v>
      </c>
      <c r="C4">
        <v>14337</v>
      </c>
      <c r="D4" s="13">
        <f t="shared" si="0"/>
        <v>0.12075709202183511</v>
      </c>
      <c r="E4" s="61" t="s">
        <v>1931</v>
      </c>
      <c r="F4" s="65">
        <v>66.743993411696735</v>
      </c>
      <c r="G4" s="6">
        <v>1129</v>
      </c>
      <c r="H4" s="6">
        <v>1070</v>
      </c>
      <c r="I4" s="65">
        <v>4.9925645459021766</v>
      </c>
      <c r="J4" s="6">
        <f>VLOOKUP($D4,Sheet1!$A$5:$C$192,3,TRUE)</f>
        <v>0</v>
      </c>
      <c r="K4" s="42" t="str">
        <f>VLOOKUP($D4,Sheet1!$A$5:$C$192,2,TRUE)</f>
        <v/>
      </c>
      <c r="L4" s="6">
        <f>FLOOR(VLOOKUP($D4,Sheet1!$D$5:$F$192,3,TRUE),1)</f>
        <v>0</v>
      </c>
      <c r="M4" s="42" t="str">
        <f>VLOOKUP($D4,Sheet1!$D$5:$F$192,2,TRUE)</f>
        <v/>
      </c>
      <c r="N4" s="23">
        <f>FLOOR(VLOOKUP($D4,Sheet1!$G$5:$I$192,3,TRUE),1)</f>
        <v>0</v>
      </c>
      <c r="O4" s="42" t="str">
        <f>VLOOKUP($D4,Sheet1!$G$5:$I$192,2,TRUE)</f>
        <v/>
      </c>
      <c r="P4" s="23">
        <v>1</v>
      </c>
      <c r="Q4" s="43" t="str">
        <f>VLOOKUP($D4,Sheet1!$J$5:$L$192,2,TRUE)</f>
        <v/>
      </c>
      <c r="R4" s="23">
        <f>FLOOR(VLOOKUP($D4,Sheet1!$M$5:$O$192,3,TRUE),1)</f>
        <v>0</v>
      </c>
      <c r="S4" s="42" t="str">
        <f>VLOOKUP($D4,Sheet1!$M$5:$O$192,2,TRUE)</f>
        <v/>
      </c>
      <c r="T4" s="117">
        <f>IF(ABS(D4-VLOOKUP($D4,Sheet1!$M$5:$T$192,8,TRUE))&lt;10^-10,"SoCA",D4-VLOOKUP($D4,Sheet1!$M$5:$T$192,8,TRUE))</f>
        <v>0.12075709202183511</v>
      </c>
      <c r="U4" s="109" t="str">
        <f>IF(VLOOKUP($D4,Sheet1!$M$5:$U$192,9,TRUE)=0,"",IF(ABS(D4-VLOOKUP($D4,Sheet1!$M$5:$U$192,9,TRUE))&lt;10^-10,"Alt.",D4-VLOOKUP($D4,Sheet1!$M$5:$U$192,9,TRUE)))</f>
        <v/>
      </c>
      <c r="V4" s="132">
        <f>$D4-Sheet1!$M$3*$R4</f>
        <v>0.12075709202183511</v>
      </c>
      <c r="Z4" s="6"/>
      <c r="AA4" s="61"/>
    </row>
    <row r="5" spans="1:27" ht="13.5">
      <c r="A5" s="6" t="s">
        <v>1819</v>
      </c>
      <c r="B5">
        <v>6553600</v>
      </c>
      <c r="C5">
        <v>6554439</v>
      </c>
      <c r="D5" s="13">
        <f t="shared" si="0"/>
        <v>0.22162054433168318</v>
      </c>
      <c r="E5" s="61">
        <v>37</v>
      </c>
      <c r="F5" s="65">
        <v>100.22366501387253</v>
      </c>
      <c r="G5" s="59">
        <v>1394</v>
      </c>
      <c r="H5" s="63">
        <v>1000024</v>
      </c>
      <c r="I5" s="65">
        <v>10.986354015677897</v>
      </c>
      <c r="J5" s="6">
        <f>VLOOKUP($D5,Sheet1!$A$5:$C$192,3,TRUE)</f>
        <v>0</v>
      </c>
      <c r="K5" s="42" t="str">
        <f>VLOOKUP($D5,Sheet1!$A$5:$C$192,2,TRUE)</f>
        <v/>
      </c>
      <c r="L5" s="6">
        <f>FLOOR(VLOOKUP($D5,Sheet1!$D$5:$F$192,3,TRUE),1)</f>
        <v>0</v>
      </c>
      <c r="M5" s="42" t="str">
        <f>VLOOKUP($D5,Sheet1!$D$5:$F$192,2,TRUE)</f>
        <v/>
      </c>
      <c r="N5" s="23">
        <f>FLOOR(VLOOKUP($D5,Sheet1!$G$5:$I$192,3,TRUE),1)</f>
        <v>0</v>
      </c>
      <c r="O5" s="42" t="str">
        <f>VLOOKUP($D5,Sheet1!$G$5:$I$192,2,TRUE)</f>
        <v/>
      </c>
      <c r="P5" s="23">
        <v>1</v>
      </c>
      <c r="Q5" s="43" t="str">
        <f>VLOOKUP($D5,Sheet1!$J$5:$L$192,2,TRUE)</f>
        <v/>
      </c>
      <c r="R5" s="23">
        <f>FLOOR(VLOOKUP($D5,Sheet1!$M$5:$O$192,3,TRUE),1)</f>
        <v>0</v>
      </c>
      <c r="S5" s="42" t="str">
        <f>VLOOKUP($D5,Sheet1!$M$5:$O$192,2,TRUE)</f>
        <v/>
      </c>
      <c r="T5" s="117">
        <f>IF(ABS(D5-VLOOKUP($D5,Sheet1!$M$5:$T$192,8,TRUE))&lt;10^-10,"SoCA",D5-VLOOKUP($D5,Sheet1!$M$5:$T$192,8,TRUE))</f>
        <v>0.22162054433168318</v>
      </c>
      <c r="U5" s="109" t="str">
        <f>IF(VLOOKUP($D5,Sheet1!$M$5:$U$192,9,TRUE)=0,"",IF(ABS(D5-VLOOKUP($D5,Sheet1!$M$5:$U$192,9,TRUE))&lt;10^-10,"Alt.",D5-VLOOKUP($D5,Sheet1!$M$5:$U$192,9,TRUE)))</f>
        <v/>
      </c>
      <c r="V5" s="132">
        <f>$D5-Sheet1!$M$3*$R5</f>
        <v>0.22162054433168318</v>
      </c>
      <c r="Z5" s="6"/>
      <c r="AA5" s="61"/>
    </row>
    <row r="6" spans="1:27" ht="13.5">
      <c r="A6" s="6" t="s">
        <v>1915</v>
      </c>
      <c r="B6">
        <v>117440512</v>
      </c>
      <c r="C6">
        <v>117448461</v>
      </c>
      <c r="D6" s="13">
        <f t="shared" si="0"/>
        <v>0.11717518524191149</v>
      </c>
      <c r="E6" s="61">
        <v>17</v>
      </c>
      <c r="F6" s="65">
        <v>127.09017114834282</v>
      </c>
      <c r="G6" s="59">
        <v>1755</v>
      </c>
      <c r="H6" s="63">
        <v>1000120</v>
      </c>
      <c r="I6" s="65">
        <v>11.992785096952213</v>
      </c>
      <c r="J6" s="6">
        <f>VLOOKUP($D6,Sheet1!$A$5:$C$192,3,TRUE)</f>
        <v>0</v>
      </c>
      <c r="K6" s="42" t="str">
        <f>VLOOKUP($D6,Sheet1!$A$5:$C$192,2,TRUE)</f>
        <v/>
      </c>
      <c r="L6" s="6">
        <f>FLOOR(VLOOKUP($D6,Sheet1!$D$5:$F$192,3,TRUE),1)</f>
        <v>0</v>
      </c>
      <c r="M6" s="42" t="str">
        <f>VLOOKUP($D6,Sheet1!$D$5:$F$192,2,TRUE)</f>
        <v/>
      </c>
      <c r="N6" s="23">
        <f>FLOOR(VLOOKUP($D6,Sheet1!$G$5:$I$192,3,TRUE),1)</f>
        <v>0</v>
      </c>
      <c r="O6" s="42" t="str">
        <f>VLOOKUP($D6,Sheet1!$G$5:$I$192,2,TRUE)</f>
        <v/>
      </c>
      <c r="P6" s="23">
        <v>1</v>
      </c>
      <c r="Q6" s="43" t="str">
        <f>VLOOKUP($D6,Sheet1!$J$5:$L$192,2,TRUE)</f>
        <v/>
      </c>
      <c r="R6" s="23">
        <f>FLOOR(VLOOKUP($D6,Sheet1!$M$5:$O$192,3,TRUE),1)</f>
        <v>0</v>
      </c>
      <c r="S6" s="42" t="str">
        <f>VLOOKUP($D6,Sheet1!$M$5:$O$192,2,TRUE)</f>
        <v/>
      </c>
      <c r="T6" s="117">
        <f>IF(ABS(D6-VLOOKUP($D6,Sheet1!$M$5:$T$192,8,TRUE))&lt;10^-10,"SoCA",D6-VLOOKUP($D6,Sheet1!$M$5:$T$192,8,TRUE))</f>
        <v>0.11717518524191149</v>
      </c>
      <c r="U6" s="109" t="str">
        <f>IF(VLOOKUP($D6,Sheet1!$M$5:$U$192,9,TRUE)=0,"",IF(ABS(D6-VLOOKUP($D6,Sheet1!$M$5:$U$192,9,TRUE))&lt;10^-10,"Alt.",D6-VLOOKUP($D6,Sheet1!$M$5:$U$192,9,TRUE)))</f>
        <v/>
      </c>
      <c r="V6" s="132">
        <f>$D6-Sheet1!$M$3*$R6</f>
        <v>0.11717518524191149</v>
      </c>
      <c r="Z6" s="6"/>
      <c r="AA6" s="61"/>
    </row>
    <row r="7" spans="1:27" ht="13.5">
      <c r="A7" t="s">
        <v>1519</v>
      </c>
      <c r="B7">
        <v>203594391</v>
      </c>
      <c r="C7">
        <v>203603968</v>
      </c>
      <c r="D7" s="13">
        <f t="shared" si="0"/>
        <v>8.1434652790280962E-2</v>
      </c>
      <c r="E7" s="61">
        <v>43</v>
      </c>
      <c r="F7" s="65">
        <v>173.81078668034124</v>
      </c>
      <c r="G7" s="6">
        <v>1426</v>
      </c>
      <c r="H7" s="6">
        <v>1368</v>
      </c>
      <c r="I7" s="65">
        <v>-8.0050142282548897</v>
      </c>
      <c r="J7" s="6">
        <f>VLOOKUP($D7,Sheet1!$A$5:$C$192,3,TRUE)</f>
        <v>0</v>
      </c>
      <c r="K7" s="42" t="str">
        <f>VLOOKUP($D7,Sheet1!$A$5:$C$192,2,TRUE)</f>
        <v/>
      </c>
      <c r="L7" s="6">
        <f>FLOOR(VLOOKUP($D7,Sheet1!$D$5:$F$192,3,TRUE),1)</f>
        <v>0</v>
      </c>
      <c r="M7" s="42" t="str">
        <f>VLOOKUP($D7,Sheet1!$D$5:$F$192,2,TRUE)</f>
        <v/>
      </c>
      <c r="N7" s="23">
        <f>FLOOR(VLOOKUP($D7,Sheet1!$G$5:$I$192,3,TRUE),1)</f>
        <v>0</v>
      </c>
      <c r="O7" s="42" t="str">
        <f>VLOOKUP($D7,Sheet1!$G$5:$I$192,2,TRUE)</f>
        <v/>
      </c>
      <c r="P7" s="23">
        <v>1</v>
      </c>
      <c r="Q7" s="43" t="str">
        <f>VLOOKUP($D7,Sheet1!$J$5:$L$192,2,TRUE)</f>
        <v/>
      </c>
      <c r="R7" s="23">
        <f>FLOOR(VLOOKUP($D7,Sheet1!$M$5:$O$192,3,TRUE),1)</f>
        <v>0</v>
      </c>
      <c r="S7" s="42" t="str">
        <f>VLOOKUP($D7,Sheet1!$M$5:$O$192,2,TRUE)</f>
        <v/>
      </c>
      <c r="T7" s="117">
        <f>IF(ABS(D7-VLOOKUP($D7,Sheet1!$M$5:$T$192,8,TRUE))&lt;10^-10,"SoCA",D7-VLOOKUP($D7,Sheet1!$M$5:$T$192,8,TRUE))</f>
        <v>8.1434652790280962E-2</v>
      </c>
      <c r="U7" s="109" t="str">
        <f>IF(VLOOKUP($D7,Sheet1!$M$5:$U$192,9,TRUE)=0,"",IF(ABS(D7-VLOOKUP($D7,Sheet1!$M$5:$U$192,9,TRUE))&lt;10^-10,"Alt.",D7-VLOOKUP($D7,Sheet1!$M$5:$U$192,9,TRUE)))</f>
        <v/>
      </c>
      <c r="V7" s="132">
        <f>$D7-Sheet1!$M$3*$R7</f>
        <v>8.1434652790280962E-2</v>
      </c>
      <c r="Z7" s="6"/>
      <c r="AA7" s="61"/>
    </row>
    <row r="8" spans="1:27" ht="13.5">
      <c r="A8" t="s">
        <v>1408</v>
      </c>
      <c r="B8">
        <v>548864</v>
      </c>
      <c r="C8">
        <v>548937</v>
      </c>
      <c r="D8" s="13">
        <f t="shared" si="0"/>
        <v>0.23024224931129059</v>
      </c>
      <c r="E8" s="61" t="s">
        <v>1931</v>
      </c>
      <c r="F8" s="65">
        <v>322.05887648057291</v>
      </c>
      <c r="G8" s="6">
        <v>1324</v>
      </c>
      <c r="H8" s="6">
        <v>1257</v>
      </c>
      <c r="I8" s="65">
        <v>6.9858231458917208</v>
      </c>
      <c r="J8" s="6">
        <f>VLOOKUP($D8,Sheet1!$A$5:$C$192,3,TRUE)</f>
        <v>0</v>
      </c>
      <c r="K8" s="42" t="str">
        <f>VLOOKUP($D8,Sheet1!$A$5:$C$192,2,TRUE)</f>
        <v/>
      </c>
      <c r="L8" s="6">
        <f>FLOOR(VLOOKUP($D8,Sheet1!$D$5:$F$192,3,TRUE),1)</f>
        <v>0</v>
      </c>
      <c r="M8" s="42" t="str">
        <f>VLOOKUP($D8,Sheet1!$D$5:$F$192,2,TRUE)</f>
        <v/>
      </c>
      <c r="N8" s="23">
        <f>FLOOR(VLOOKUP($D8,Sheet1!$G$5:$I$192,3,TRUE),1)</f>
        <v>0</v>
      </c>
      <c r="O8" s="42" t="str">
        <f>VLOOKUP($D8,Sheet1!$G$5:$I$192,2,TRUE)</f>
        <v/>
      </c>
      <c r="P8" s="23">
        <v>1</v>
      </c>
      <c r="Q8" s="43" t="str">
        <f>VLOOKUP($D8,Sheet1!$J$5:$L$192,2,TRUE)</f>
        <v/>
      </c>
      <c r="R8" s="23">
        <f>FLOOR(VLOOKUP($D8,Sheet1!$M$5:$O$192,3,TRUE),1)</f>
        <v>0</v>
      </c>
      <c r="S8" s="42" t="str">
        <f>VLOOKUP($D8,Sheet1!$M$5:$O$192,2,TRUE)</f>
        <v/>
      </c>
      <c r="T8" s="117">
        <f>IF(ABS(D8-VLOOKUP($D8,Sheet1!$M$5:$T$192,8,TRUE))&lt;10^-10,"SoCA",D8-VLOOKUP($D8,Sheet1!$M$5:$T$192,8,TRUE))</f>
        <v>0.23024224931129059</v>
      </c>
      <c r="U8" s="109" t="str">
        <f>IF(VLOOKUP($D8,Sheet1!$M$5:$U$192,9,TRUE)=0,"",IF(ABS(D8-VLOOKUP($D8,Sheet1!$M$5:$U$192,9,TRUE))&lt;10^-10,"Alt.",D8-VLOOKUP($D8,Sheet1!$M$5:$U$192,9,TRUE)))</f>
        <v/>
      </c>
      <c r="V8" s="132">
        <f>$D8-Sheet1!$M$3*$R8</f>
        <v>0.23024224931129059</v>
      </c>
      <c r="Z8" s="6"/>
      <c r="AA8" s="61"/>
    </row>
    <row r="9" spans="1:27" ht="13.5">
      <c r="A9" t="s">
        <v>1674</v>
      </c>
      <c r="B9">
        <v>11632640</v>
      </c>
      <c r="C9">
        <v>11632653</v>
      </c>
      <c r="D9" s="13">
        <f t="shared" si="0"/>
        <v>1.9347310724270269E-3</v>
      </c>
      <c r="E9" s="61" t="s">
        <v>1931</v>
      </c>
      <c r="F9" s="65">
        <v>359.37194369128542</v>
      </c>
      <c r="G9" s="6">
        <v>1425</v>
      </c>
      <c r="H9" s="6">
        <v>1523</v>
      </c>
      <c r="I9" s="65">
        <v>9.9998808715592613</v>
      </c>
      <c r="J9" s="6">
        <f>VLOOKUP($D9,Sheet1!$A$5:$C$192,3,TRUE)</f>
        <v>0</v>
      </c>
      <c r="K9" s="42" t="str">
        <f>VLOOKUP($D9,Sheet1!$A$5:$C$192,2,TRUE)</f>
        <v/>
      </c>
      <c r="L9" s="6">
        <f>FLOOR(VLOOKUP($D9,Sheet1!$D$5:$F$192,3,TRUE),1)</f>
        <v>0</v>
      </c>
      <c r="M9" s="42" t="str">
        <f>VLOOKUP($D9,Sheet1!$D$5:$F$192,2,TRUE)</f>
        <v/>
      </c>
      <c r="N9" s="23">
        <f>FLOOR(VLOOKUP($D9,Sheet1!$G$5:$I$192,3,TRUE),1)</f>
        <v>0</v>
      </c>
      <c r="O9" s="42" t="str">
        <f>VLOOKUP($D9,Sheet1!$G$5:$I$192,2,TRUE)</f>
        <v/>
      </c>
      <c r="P9" s="23">
        <v>1</v>
      </c>
      <c r="Q9" s="43" t="str">
        <f>VLOOKUP($D9,Sheet1!$J$5:$L$192,2,TRUE)</f>
        <v/>
      </c>
      <c r="R9" s="23">
        <f>FLOOR(VLOOKUP($D9,Sheet1!$M$5:$O$192,3,TRUE),1)</f>
        <v>0</v>
      </c>
      <c r="S9" s="42" t="str">
        <f>VLOOKUP($D9,Sheet1!$M$5:$O$192,2,TRUE)</f>
        <v/>
      </c>
      <c r="T9" s="117">
        <f>IF(ABS(D9-VLOOKUP($D9,Sheet1!$M$5:$T$192,8,TRUE))&lt;10^-10,"SoCA",D9-VLOOKUP($D9,Sheet1!$M$5:$T$192,8,TRUE))</f>
        <v>1.9347310724270269E-3</v>
      </c>
      <c r="U9" s="109" t="str">
        <f>IF(VLOOKUP($D9,Sheet1!$M$5:$U$192,9,TRUE)=0,"",IF(ABS(D9-VLOOKUP($D9,Sheet1!$M$5:$U$192,9,TRUE))&lt;10^-10,"Alt.",D9-VLOOKUP($D9,Sheet1!$M$5:$U$192,9,TRUE)))</f>
        <v/>
      </c>
      <c r="V9" s="132">
        <f>$D9-Sheet1!$M$3*$R9</f>
        <v>1.9347310724270269E-3</v>
      </c>
      <c r="Z9" s="6"/>
      <c r="AA9" s="61"/>
    </row>
    <row r="10" spans="1:27" ht="13.5">
      <c r="A10" s="6" t="s">
        <v>1859</v>
      </c>
      <c r="B10">
        <v>110362581</v>
      </c>
      <c r="C10">
        <v>110362624</v>
      </c>
      <c r="D10" s="13">
        <f t="shared" si="0"/>
        <v>6.7453161135771513E-4</v>
      </c>
      <c r="E10" s="61" t="s">
        <v>1931</v>
      </c>
      <c r="F10" s="65">
        <v>691.13323625809369</v>
      </c>
      <c r="G10" s="59">
        <v>1692</v>
      </c>
      <c r="H10" s="63">
        <v>1000064</v>
      </c>
      <c r="I10" s="65">
        <v>-11.000041533368764</v>
      </c>
      <c r="J10" s="6">
        <f>VLOOKUP($D10,Sheet1!$A$5:$C$192,3,TRUE)</f>
        <v>0</v>
      </c>
      <c r="K10" s="42" t="str">
        <f>VLOOKUP($D10,Sheet1!$A$5:$C$192,2,TRUE)</f>
        <v/>
      </c>
      <c r="L10" s="6">
        <f>FLOOR(VLOOKUP($D10,Sheet1!$D$5:$F$192,3,TRUE),1)</f>
        <v>0</v>
      </c>
      <c r="M10" s="42" t="str">
        <f>VLOOKUP($D10,Sheet1!$D$5:$F$192,2,TRUE)</f>
        <v/>
      </c>
      <c r="N10" s="23">
        <f>FLOOR(VLOOKUP($D10,Sheet1!$G$5:$I$192,3,TRUE),1)</f>
        <v>0</v>
      </c>
      <c r="O10" s="42" t="str">
        <f>VLOOKUP($D10,Sheet1!$G$5:$I$192,2,TRUE)</f>
        <v/>
      </c>
      <c r="P10" s="23">
        <v>1</v>
      </c>
      <c r="Q10" s="43" t="str">
        <f>VLOOKUP($D10,Sheet1!$J$5:$L$192,2,TRUE)</f>
        <v/>
      </c>
      <c r="R10" s="23">
        <f>FLOOR(VLOOKUP($D10,Sheet1!$M$5:$O$192,3,TRUE),1)</f>
        <v>0</v>
      </c>
      <c r="S10" s="42" t="str">
        <f>VLOOKUP($D10,Sheet1!$M$5:$O$192,2,TRUE)</f>
        <v/>
      </c>
      <c r="T10" s="117">
        <f>IF(ABS(D10-VLOOKUP($D10,Sheet1!$M$5:$T$192,8,TRUE))&lt;10^-10,"SoCA",D10-VLOOKUP($D10,Sheet1!$M$5:$T$192,8,TRUE))</f>
        <v>6.7453161135771513E-4</v>
      </c>
      <c r="U10" s="109" t="str">
        <f>IF(VLOOKUP($D10,Sheet1!$M$5:$U$192,9,TRUE)=0,"",IF(ABS(D10-VLOOKUP($D10,Sheet1!$M$5:$U$192,9,TRUE))&lt;10^-10,"Alt.",D10-VLOOKUP($D10,Sheet1!$M$5:$U$192,9,TRUE)))</f>
        <v/>
      </c>
      <c r="V10" s="132">
        <f>$D10-Sheet1!$M$3*$R10</f>
        <v>6.7453161135771513E-4</v>
      </c>
      <c r="Z10" s="6"/>
      <c r="AA10" s="61"/>
    </row>
    <row r="11" spans="1:27" ht="13.5">
      <c r="A11" s="38" t="s">
        <v>9</v>
      </c>
      <c r="B11" s="38">
        <f>3^2*5*7*13</f>
        <v>4095</v>
      </c>
      <c r="C11" s="38">
        <f>2^12</f>
        <v>4096</v>
      </c>
      <c r="D11" s="13">
        <f t="shared" si="0"/>
        <v>0.42271616595482425</v>
      </c>
      <c r="E11" s="61">
        <v>13</v>
      </c>
      <c r="F11" s="65">
        <v>40.073491317191532</v>
      </c>
      <c r="G11" s="6">
        <v>283</v>
      </c>
      <c r="H11" s="6">
        <v>253</v>
      </c>
      <c r="I11" s="65">
        <v>-2.0260281743766777</v>
      </c>
      <c r="J11" s="6">
        <f>VLOOKUP($D11,Sheet1!$A$5:$C$192,3,TRUE)</f>
        <v>0</v>
      </c>
      <c r="K11" s="42" t="str">
        <f>VLOOKUP($D11,Sheet1!$A$5:$C$192,2,TRUE)</f>
        <v/>
      </c>
      <c r="L11" s="6">
        <f>FLOOR(VLOOKUP($D11,Sheet1!$D$5:$F$192,3,TRUE),1)</f>
        <v>0</v>
      </c>
      <c r="M11" s="42" t="str">
        <f>VLOOKUP($D11,Sheet1!$D$5:$F$192,2,TRUE)</f>
        <v/>
      </c>
      <c r="N11" s="23">
        <f>FLOOR(VLOOKUP($D11,Sheet1!$G$5:$I$192,3,TRUE),1)</f>
        <v>0</v>
      </c>
      <c r="O11" s="42" t="str">
        <f>VLOOKUP($D11,Sheet1!$G$5:$I$192,2,TRUE)</f>
        <v/>
      </c>
      <c r="P11" s="23">
        <v>1</v>
      </c>
      <c r="Q11" s="45" t="str">
        <f>VLOOKUP($D11,Sheet1!$J$5:$L$192,2,TRUE)</f>
        <v>|'</v>
      </c>
      <c r="R11" s="38">
        <f>FLOOR(VLOOKUP($D11,Sheet1!$M$5:$O$192,3,TRUE),1)</f>
        <v>1</v>
      </c>
      <c r="S11" s="45" t="str">
        <f>VLOOKUP($D11,Sheet1!$M$5:$O$192,2,TRUE)</f>
        <v>|'</v>
      </c>
      <c r="T11" s="112" t="str">
        <f>IF(ABS(D11-VLOOKUP($D11,Sheet1!$M$5:$T$192,8,TRUE))&lt;10^-10,"SoCA",D11-VLOOKUP($D11,Sheet1!$M$5:$T$192,8,TRUE))</f>
        <v>SoCA</v>
      </c>
      <c r="U11" s="108">
        <f>IF(VLOOKUP($D11,Sheet1!$M$5:$U$192,9,TRUE)=0,"",IF(ABS(D11-VLOOKUP($D11,Sheet1!$M$5:$U$192,9,TRUE))&lt;10^-10,"Alt.",D11-VLOOKUP($D11,Sheet1!$M$5:$U$192,9,TRUE)))</f>
        <v>2.6960295202434092E-2</v>
      </c>
      <c r="V11" s="133">
        <f>$D11-Sheet1!$M$3*$R11</f>
        <v>-6.5202314979561693E-2</v>
      </c>
      <c r="X11" t="s">
        <v>2099</v>
      </c>
      <c r="Z11" s="6"/>
      <c r="AA11" s="61"/>
    </row>
    <row r="12" spans="1:27" ht="13.5">
      <c r="A12" s="40" t="s">
        <v>579</v>
      </c>
      <c r="B12" s="40">
        <f>2^5*3*5^2</f>
        <v>2400</v>
      </c>
      <c r="C12" s="40">
        <f>7^4</f>
        <v>2401</v>
      </c>
      <c r="D12" s="13">
        <f t="shared" si="0"/>
        <v>0.72119728144277584</v>
      </c>
      <c r="E12" s="61">
        <v>7</v>
      </c>
      <c r="F12" s="65">
        <v>53.24139375299319</v>
      </c>
      <c r="G12" s="6">
        <v>459</v>
      </c>
      <c r="H12" s="6">
        <v>424</v>
      </c>
      <c r="I12" s="65">
        <v>-1.0444067440831786</v>
      </c>
      <c r="J12" s="6">
        <f>VLOOKUP($D12,Sheet1!$A$5:$C$192,3,TRUE)</f>
        <v>0</v>
      </c>
      <c r="K12" s="42" t="str">
        <f>VLOOKUP($D12,Sheet1!$A$5:$C$192,2,TRUE)</f>
        <v/>
      </c>
      <c r="L12" s="6">
        <f>FLOOR(VLOOKUP($D12,Sheet1!$D$5:$F$192,3,TRUE),1)</f>
        <v>0</v>
      </c>
      <c r="M12" s="42" t="str">
        <f>VLOOKUP($D12,Sheet1!$D$5:$F$192,2,TRUE)</f>
        <v/>
      </c>
      <c r="N12" s="23">
        <f>FLOOR(VLOOKUP($D12,Sheet1!$G$5:$I$192,3,TRUE),1)</f>
        <v>0</v>
      </c>
      <c r="O12" s="42" t="str">
        <f>VLOOKUP($D12,Sheet1!$G$5:$I$192,2,TRUE)</f>
        <v/>
      </c>
      <c r="P12" s="23">
        <v>1</v>
      </c>
      <c r="Q12" s="43" t="str">
        <f>VLOOKUP($D12,Sheet1!$J$5:$L$192,2,TRUE)</f>
        <v>|'</v>
      </c>
      <c r="R12" s="40">
        <f>FLOOR(VLOOKUP($D12,Sheet1!$M$5:$O$192,3,TRUE),1)</f>
        <v>1</v>
      </c>
      <c r="S12" s="46" t="str">
        <f>VLOOKUP($D12,Sheet1!$M$5:$O$192,2,TRUE)</f>
        <v>.)|..</v>
      </c>
      <c r="T12" s="115">
        <f>IF(ABS(D12-VLOOKUP($D12,Sheet1!$M$5:$T$192,8,TRUE))&lt;10^-10,"SoCA",D12-VLOOKUP($D12,Sheet1!$M$5:$T$192,8,TRUE))</f>
        <v>0.12942354501368858</v>
      </c>
      <c r="U12" s="115">
        <f>IF(VLOOKUP($D12,Sheet1!$M$5:$U$192,9,TRUE)=0,"",IF(ABS(D12-VLOOKUP($D12,Sheet1!$M$5:$U$192,9,TRUE))&lt;10^-10,"Alt.",D12-VLOOKUP($D12,Sheet1!$M$5:$U$192,9,TRUE)))</f>
        <v>0.11537137761923189</v>
      </c>
      <c r="V12" s="134">
        <f>$D12-Sheet1!$M$3*$R12</f>
        <v>0.23327880050838989</v>
      </c>
      <c r="Z12" s="6"/>
      <c r="AA12" s="61"/>
    </row>
    <row r="13" spans="1:27" ht="13.5">
      <c r="A13" s="21" t="s">
        <v>366</v>
      </c>
      <c r="B13" s="21">
        <f>2^7*31</f>
        <v>3968</v>
      </c>
      <c r="C13" s="21">
        <f>3^4*7^2</f>
        <v>3969</v>
      </c>
      <c r="D13" s="13">
        <f t="shared" si="0"/>
        <v>0.43624393554926594</v>
      </c>
      <c r="E13" s="61">
        <v>31</v>
      </c>
      <c r="F13" s="65">
        <v>54.337169444418272</v>
      </c>
      <c r="G13" s="6">
        <v>214</v>
      </c>
      <c r="H13" s="6">
        <v>201</v>
      </c>
      <c r="I13" s="65">
        <v>3.9731388715650446</v>
      </c>
      <c r="J13" s="6">
        <f>VLOOKUP($D13,Sheet1!$A$5:$C$192,3,TRUE)</f>
        <v>0</v>
      </c>
      <c r="K13" s="42" t="str">
        <f>VLOOKUP($D13,Sheet1!$A$5:$C$192,2,TRUE)</f>
        <v/>
      </c>
      <c r="L13" s="6">
        <f>FLOOR(VLOOKUP($D13,Sheet1!$D$5:$F$192,3,TRUE),1)</f>
        <v>0</v>
      </c>
      <c r="M13" s="42" t="str">
        <f>VLOOKUP($D13,Sheet1!$D$5:$F$192,2,TRUE)</f>
        <v/>
      </c>
      <c r="N13" s="23">
        <f>FLOOR(VLOOKUP($D13,Sheet1!$G$5:$I$192,3,TRUE),1)</f>
        <v>0</v>
      </c>
      <c r="O13" s="42" t="str">
        <f>VLOOKUP($D13,Sheet1!$G$5:$I$192,2,TRUE)</f>
        <v/>
      </c>
      <c r="P13" s="23">
        <v>1</v>
      </c>
      <c r="Q13" s="43" t="str">
        <f>VLOOKUP($D13,Sheet1!$J$5:$L$192,2,TRUE)</f>
        <v>|'</v>
      </c>
      <c r="R13" s="23">
        <f>FLOOR(VLOOKUP($D13,Sheet1!$M$5:$O$192,3,TRUE),1)</f>
        <v>1</v>
      </c>
      <c r="S13" s="43" t="str">
        <f>VLOOKUP($D13,Sheet1!$M$5:$O$192,2,TRUE)</f>
        <v>|'</v>
      </c>
      <c r="T13" s="117">
        <f>IF(ABS(D13-VLOOKUP($D13,Sheet1!$M$5:$T$192,8,TRUE))&lt;10^-10,"SoCA",D13-VLOOKUP($D13,Sheet1!$M$5:$T$192,8,TRUE))</f>
        <v>1.3527769594441685E-2</v>
      </c>
      <c r="U13" s="109">
        <f>IF(VLOOKUP($D13,Sheet1!$M$5:$U$192,9,TRUE)=0,"",IF(ABS(D13-VLOOKUP($D13,Sheet1!$M$5:$U$192,9,TRUE))&lt;10^-10,"Alt.",D13-VLOOKUP($D13,Sheet1!$M$5:$U$192,9,TRUE)))</f>
        <v>4.0488064796875778E-2</v>
      </c>
      <c r="V13" s="132">
        <f>$D13-Sheet1!$M$3*$R13</f>
        <v>-5.1674545385120008E-2</v>
      </c>
      <c r="Z13" s="6"/>
      <c r="AA13" s="61"/>
    </row>
    <row r="14" spans="1:27" ht="13.5">
      <c r="A14" s="23" t="s">
        <v>514</v>
      </c>
      <c r="B14" s="23">
        <f>2*3^7</f>
        <v>4374</v>
      </c>
      <c r="C14" s="23">
        <f>5^4*7</f>
        <v>4375</v>
      </c>
      <c r="D14" s="13">
        <f t="shared" si="0"/>
        <v>0.39575587075239016</v>
      </c>
      <c r="E14" s="61">
        <v>7</v>
      </c>
      <c r="F14" s="65">
        <v>56.4013171990917</v>
      </c>
      <c r="G14" s="6">
        <v>349</v>
      </c>
      <c r="H14" s="6">
        <v>355</v>
      </c>
      <c r="I14" s="65">
        <v>-7.0243681307793606</v>
      </c>
      <c r="J14" s="6">
        <f>VLOOKUP($D14,Sheet1!$A$5:$C$192,3,TRUE)</f>
        <v>0</v>
      </c>
      <c r="K14" s="42" t="str">
        <f>VLOOKUP($D14,Sheet1!$A$5:$C$192,2,TRUE)</f>
        <v/>
      </c>
      <c r="L14" s="6">
        <f>FLOOR(VLOOKUP($D14,Sheet1!$D$5:$F$192,3,TRUE),1)</f>
        <v>0</v>
      </c>
      <c r="M14" s="42" t="str">
        <f>VLOOKUP($D14,Sheet1!$D$5:$F$192,2,TRUE)</f>
        <v/>
      </c>
      <c r="N14" s="23">
        <f>FLOOR(VLOOKUP($D14,Sheet1!$G$5:$I$192,3,TRUE),1)</f>
        <v>0</v>
      </c>
      <c r="O14" s="42" t="str">
        <f>VLOOKUP($D14,Sheet1!$G$5:$I$192,2,TRUE)</f>
        <v/>
      </c>
      <c r="P14" s="23">
        <v>1</v>
      </c>
      <c r="Q14" s="43" t="str">
        <f>VLOOKUP($D14,Sheet1!$J$5:$L$192,2,TRUE)</f>
        <v>|'</v>
      </c>
      <c r="R14" s="23">
        <f>FLOOR(VLOOKUP($D14,Sheet1!$M$5:$O$192,3,TRUE),1)</f>
        <v>1</v>
      </c>
      <c r="S14" s="43" t="str">
        <f>VLOOKUP($D14,Sheet1!$M$5:$O$192,2,TRUE)</f>
        <v>|'</v>
      </c>
      <c r="T14" s="117">
        <f>IF(ABS(D14-VLOOKUP($D14,Sheet1!$M$5:$T$192,8,TRUE))&lt;10^-10,"SoCA",D14-VLOOKUP($D14,Sheet1!$M$5:$T$192,8,TRUE))</f>
        <v>-2.6960295202434092E-2</v>
      </c>
      <c r="U14" s="124" t="str">
        <f>IF(VLOOKUP($D14,Sheet1!$M$5:$U$192,9,TRUE)=0,"",IF(ABS(D14-VLOOKUP($D14,Sheet1!$M$5:$U$192,9,TRUE))&lt;10^-10,"Alt.",D14-VLOOKUP($D14,Sheet1!$M$5:$U$192,9,TRUE)))</f>
        <v>Alt.</v>
      </c>
      <c r="V14" s="132">
        <f>$D14-Sheet1!$M$3*$R14</f>
        <v>-9.2162610181995785E-2</v>
      </c>
      <c r="Z14" s="6"/>
      <c r="AA14" s="61"/>
    </row>
    <row r="15" spans="1:27" ht="13.5">
      <c r="A15" t="s">
        <v>491</v>
      </c>
      <c r="B15">
        <v>24057</v>
      </c>
      <c r="C15">
        <v>24064</v>
      </c>
      <c r="D15" s="13">
        <f t="shared" si="0"/>
        <v>0.50367359069636219</v>
      </c>
      <c r="E15" s="61">
        <v>47</v>
      </c>
      <c r="F15" s="65">
        <v>60.926593477324502</v>
      </c>
      <c r="G15" s="6">
        <v>328</v>
      </c>
      <c r="H15" s="6">
        <v>332</v>
      </c>
      <c r="I15" s="65">
        <v>-7.0310130179619703</v>
      </c>
      <c r="J15" s="6">
        <f>VLOOKUP($D15,Sheet1!$A$5:$C$192,3,TRUE)</f>
        <v>0</v>
      </c>
      <c r="K15" s="42" t="str">
        <f>VLOOKUP($D15,Sheet1!$A$5:$C$192,2,TRUE)</f>
        <v/>
      </c>
      <c r="L15" s="6">
        <f>FLOOR(VLOOKUP($D15,Sheet1!$D$5:$F$192,3,TRUE),1)</f>
        <v>0</v>
      </c>
      <c r="M15" s="42" t="str">
        <f>VLOOKUP($D15,Sheet1!$D$5:$F$192,2,TRUE)</f>
        <v/>
      </c>
      <c r="N15" s="23">
        <f>FLOOR(VLOOKUP($D15,Sheet1!$G$5:$I$192,3,TRUE),1)</f>
        <v>0</v>
      </c>
      <c r="O15" s="42" t="str">
        <f>VLOOKUP($D15,Sheet1!$G$5:$I$192,2,TRUE)</f>
        <v/>
      </c>
      <c r="P15" s="23">
        <v>1</v>
      </c>
      <c r="Q15" s="43" t="str">
        <f>VLOOKUP($D15,Sheet1!$J$5:$L$192,2,TRUE)</f>
        <v>|'</v>
      </c>
      <c r="R15" s="23">
        <f>FLOOR(VLOOKUP($D15,Sheet1!$M$5:$O$192,3,TRUE),1)</f>
        <v>1</v>
      </c>
      <c r="S15" s="42" t="str">
        <f>VLOOKUP($D15,Sheet1!$M$5:$O$192,2,TRUE)</f>
        <v>|'</v>
      </c>
      <c r="T15" s="117">
        <f>IF(ABS(D15-VLOOKUP($D15,Sheet1!$M$5:$T$192,8,TRUE))&lt;10^-10,"SoCA",D15-VLOOKUP($D15,Sheet1!$M$5:$T$192,8,TRUE))</f>
        <v>8.0957424741537942E-2</v>
      </c>
      <c r="U15" s="109">
        <f>IF(VLOOKUP($D15,Sheet1!$M$5:$U$192,9,TRUE)=0,"",IF(ABS(D15-VLOOKUP($D15,Sheet1!$M$5:$U$192,9,TRUE))&lt;10^-10,"Alt.",D15-VLOOKUP($D15,Sheet1!$M$5:$U$192,9,TRUE)))</f>
        <v>0.10791771994397203</v>
      </c>
      <c r="V15" s="132">
        <f>$D15-Sheet1!$M$3*$R15</f>
        <v>1.5755109761976249E-2</v>
      </c>
      <c r="Z15" s="6"/>
      <c r="AA15" s="61"/>
    </row>
    <row r="16" spans="1:27" ht="13.5">
      <c r="A16" t="s">
        <v>1225</v>
      </c>
      <c r="B16">
        <v>2430</v>
      </c>
      <c r="C16">
        <v>2431</v>
      </c>
      <c r="D16" s="13">
        <f t="shared" si="0"/>
        <v>0.71229544270273804</v>
      </c>
      <c r="E16" s="61">
        <v>17</v>
      </c>
      <c r="F16" s="65">
        <v>65.094899955107721</v>
      </c>
      <c r="G16" s="6">
        <v>1133</v>
      </c>
      <c r="H16" s="6">
        <v>1074</v>
      </c>
      <c r="I16" s="65">
        <v>-5.04385862544079</v>
      </c>
      <c r="J16" s="6">
        <f>VLOOKUP($D16,Sheet1!$A$5:$C$192,3,TRUE)</f>
        <v>0</v>
      </c>
      <c r="K16" s="42" t="str">
        <f>VLOOKUP($D16,Sheet1!$A$5:$C$192,2,TRUE)</f>
        <v/>
      </c>
      <c r="L16" s="6">
        <f>FLOOR(VLOOKUP($D16,Sheet1!$D$5:$F$192,3,TRUE),1)</f>
        <v>0</v>
      </c>
      <c r="M16" s="42" t="str">
        <f>VLOOKUP($D16,Sheet1!$D$5:$F$192,2,TRUE)</f>
        <v/>
      </c>
      <c r="N16" s="23">
        <f>FLOOR(VLOOKUP($D16,Sheet1!$G$5:$I$192,3,TRUE),1)</f>
        <v>0</v>
      </c>
      <c r="O16" s="42" t="str">
        <f>VLOOKUP($D16,Sheet1!$G$5:$I$192,2,TRUE)</f>
        <v/>
      </c>
      <c r="P16" s="23">
        <v>1</v>
      </c>
      <c r="Q16" s="43" t="str">
        <f>VLOOKUP($D16,Sheet1!$J$5:$L$192,2,TRUE)</f>
        <v>|'</v>
      </c>
      <c r="R16" s="23">
        <f>FLOOR(VLOOKUP($D16,Sheet1!$M$5:$O$192,3,TRUE),1)</f>
        <v>1</v>
      </c>
      <c r="S16" s="42" t="str">
        <f>VLOOKUP($D16,Sheet1!$M$5:$O$192,2,TRUE)</f>
        <v>.)|..</v>
      </c>
      <c r="T16" s="117">
        <f>IF(ABS(D16-VLOOKUP($D16,Sheet1!$M$5:$T$192,8,TRUE))&lt;10^-10,"SoCA",D16-VLOOKUP($D16,Sheet1!$M$5:$T$192,8,TRUE))</f>
        <v>0.12052170627365077</v>
      </c>
      <c r="U16" s="109">
        <f>IF(VLOOKUP($D16,Sheet1!$M$5:$U$192,9,TRUE)=0,"",IF(ABS(D16-VLOOKUP($D16,Sheet1!$M$5:$U$192,9,TRUE))&lt;10^-10,"Alt.",D16-VLOOKUP($D16,Sheet1!$M$5:$U$192,9,TRUE)))</f>
        <v>0.10646953887919408</v>
      </c>
      <c r="V16" s="132">
        <f>$D16-Sheet1!$M$3*$R16</f>
        <v>0.22437696176835209</v>
      </c>
      <c r="Z16" s="6"/>
      <c r="AA16" s="61"/>
    </row>
    <row r="17" spans="1:27" ht="13.5">
      <c r="A17" t="s">
        <v>1412</v>
      </c>
      <c r="B17">
        <v>369603</v>
      </c>
      <c r="C17">
        <v>369664</v>
      </c>
      <c r="D17" s="13">
        <f t="shared" si="0"/>
        <v>0.28570266827214807</v>
      </c>
      <c r="E17" s="61">
        <v>19</v>
      </c>
      <c r="F17" s="65">
        <v>66.98070593315424</v>
      </c>
      <c r="G17" s="6">
        <v>1328</v>
      </c>
      <c r="H17" s="6">
        <v>1261</v>
      </c>
      <c r="I17" s="65">
        <v>-7.0175917541570065</v>
      </c>
      <c r="J17" s="6">
        <f>VLOOKUP($D17,Sheet1!$A$5:$C$192,3,TRUE)</f>
        <v>0</v>
      </c>
      <c r="K17" s="42" t="str">
        <f>VLOOKUP($D17,Sheet1!$A$5:$C$192,2,TRUE)</f>
        <v/>
      </c>
      <c r="L17" s="6">
        <f>FLOOR(VLOOKUP($D17,Sheet1!$D$5:$F$192,3,TRUE),1)</f>
        <v>0</v>
      </c>
      <c r="M17" s="42" t="str">
        <f>VLOOKUP($D17,Sheet1!$D$5:$F$192,2,TRUE)</f>
        <v/>
      </c>
      <c r="N17" s="23">
        <f>FLOOR(VLOOKUP($D17,Sheet1!$G$5:$I$192,3,TRUE),1)</f>
        <v>0</v>
      </c>
      <c r="O17" s="42" t="str">
        <f>VLOOKUP($D17,Sheet1!$G$5:$I$192,2,TRUE)</f>
        <v/>
      </c>
      <c r="P17" s="23">
        <v>1</v>
      </c>
      <c r="Q17" s="43" t="str">
        <f>VLOOKUP($D17,Sheet1!$J$5:$L$192,2,TRUE)</f>
        <v>|'</v>
      </c>
      <c r="R17" s="23">
        <f>FLOOR(VLOOKUP($D17,Sheet1!$M$5:$O$192,3,TRUE),1)</f>
        <v>1</v>
      </c>
      <c r="S17" s="42" t="str">
        <f>VLOOKUP($D17,Sheet1!$M$5:$O$192,2,TRUE)</f>
        <v>|'</v>
      </c>
      <c r="T17" s="117">
        <f>IF(ABS(D17-VLOOKUP($D17,Sheet1!$M$5:$T$192,8,TRUE))&lt;10^-10,"SoCA",D17-VLOOKUP($D17,Sheet1!$M$5:$T$192,8,TRUE))</f>
        <v>-0.13701349768267618</v>
      </c>
      <c r="U17" s="109">
        <f>IF(VLOOKUP($D17,Sheet1!$M$5:$U$192,9,TRUE)=0,"",IF(ABS(D17-VLOOKUP($D17,Sheet1!$M$5:$U$192,9,TRUE))&lt;10^-10,"Alt.",D17-VLOOKUP($D17,Sheet1!$M$5:$U$192,9,TRUE)))</f>
        <v>-0.11005320248024208</v>
      </c>
      <c r="V17" s="132">
        <f>$D17-Sheet1!$M$3*$R17</f>
        <v>-0.20221581266223787</v>
      </c>
      <c r="Z17" s="6"/>
      <c r="AA17" s="61"/>
    </row>
    <row r="18" spans="1:27" ht="13.5">
      <c r="A18" t="s">
        <v>1728</v>
      </c>
      <c r="B18">
        <v>1003520</v>
      </c>
      <c r="C18">
        <v>1003833</v>
      </c>
      <c r="D18" s="13">
        <f t="shared" si="0"/>
        <v>0.53989135119684228</v>
      </c>
      <c r="E18" s="61">
        <v>17</v>
      </c>
      <c r="F18" s="65">
        <v>70.742930677619157</v>
      </c>
      <c r="G18" s="6">
        <v>1630</v>
      </c>
      <c r="H18" s="6">
        <v>1577</v>
      </c>
      <c r="I18" s="65">
        <v>9.966756922575529</v>
      </c>
      <c r="J18" s="6">
        <f>VLOOKUP($D18,Sheet1!$A$5:$C$192,3,TRUE)</f>
        <v>0</v>
      </c>
      <c r="K18" s="42" t="str">
        <f>VLOOKUP($D18,Sheet1!$A$5:$C$192,2,TRUE)</f>
        <v/>
      </c>
      <c r="L18" s="6">
        <f>FLOOR(VLOOKUP($D18,Sheet1!$D$5:$F$192,3,TRUE),1)</f>
        <v>0</v>
      </c>
      <c r="M18" s="42" t="str">
        <f>VLOOKUP($D18,Sheet1!$D$5:$F$192,2,TRUE)</f>
        <v/>
      </c>
      <c r="N18" s="23">
        <f>FLOOR(VLOOKUP($D18,Sheet1!$G$5:$I$192,3,TRUE),1)</f>
        <v>0</v>
      </c>
      <c r="O18" s="42" t="str">
        <f>VLOOKUP($D18,Sheet1!$G$5:$I$192,2,TRUE)</f>
        <v/>
      </c>
      <c r="P18" s="23">
        <v>1</v>
      </c>
      <c r="Q18" s="43" t="str">
        <f>VLOOKUP($D18,Sheet1!$J$5:$L$192,2,TRUE)</f>
        <v>|'</v>
      </c>
      <c r="R18" s="23">
        <f>FLOOR(VLOOKUP($D18,Sheet1!$M$5:$O$192,3,TRUE),1)</f>
        <v>1</v>
      </c>
      <c r="S18" s="42" t="str">
        <f>VLOOKUP($D18,Sheet1!$M$5:$O$192,2,TRUE)</f>
        <v>|'</v>
      </c>
      <c r="T18" s="117">
        <f>IF(ABS(D18-VLOOKUP($D18,Sheet1!$M$5:$T$192,8,TRUE))&lt;10^-10,"SoCA",D18-VLOOKUP($D18,Sheet1!$M$5:$T$192,8,TRUE))</f>
        <v>0.11717518524201803</v>
      </c>
      <c r="U18" s="109">
        <f>IF(VLOOKUP($D18,Sheet1!$M$5:$U$192,9,TRUE)=0,"",IF(ABS(D18-VLOOKUP($D18,Sheet1!$M$5:$U$192,9,TRUE))&lt;10^-10,"Alt.",D18-VLOOKUP($D18,Sheet1!$M$5:$U$192,9,TRUE)))</f>
        <v>0.14413548044445212</v>
      </c>
      <c r="V18" s="132">
        <f>$D18-Sheet1!$M$3*$R18</f>
        <v>5.1972870262456339E-2</v>
      </c>
      <c r="Z18" s="6"/>
      <c r="AA18" s="61"/>
    </row>
    <row r="19" spans="1:27" ht="13.5">
      <c r="A19" t="s">
        <v>1626</v>
      </c>
      <c r="B19">
        <v>33554432</v>
      </c>
      <c r="C19">
        <v>33559515</v>
      </c>
      <c r="D19" s="13">
        <f t="shared" si="0"/>
        <v>0.26223648232853514</v>
      </c>
      <c r="E19" s="61">
        <v>31</v>
      </c>
      <c r="F19" s="65">
        <v>86.146473462824886</v>
      </c>
      <c r="G19" s="6">
        <v>1534</v>
      </c>
      <c r="H19" s="6">
        <v>1475</v>
      </c>
      <c r="I19" s="65">
        <v>8.9838531444035112</v>
      </c>
      <c r="J19" s="6">
        <f>VLOOKUP($D19,Sheet1!$A$5:$C$192,3,TRUE)</f>
        <v>0</v>
      </c>
      <c r="K19" s="42" t="str">
        <f>VLOOKUP($D19,Sheet1!$A$5:$C$192,2,TRUE)</f>
        <v/>
      </c>
      <c r="L19" s="6">
        <f>FLOOR(VLOOKUP($D19,Sheet1!$D$5:$F$192,3,TRUE),1)</f>
        <v>0</v>
      </c>
      <c r="M19" s="42" t="str">
        <f>VLOOKUP($D19,Sheet1!$D$5:$F$192,2,TRUE)</f>
        <v/>
      </c>
      <c r="N19" s="23">
        <f>FLOOR(VLOOKUP($D19,Sheet1!$G$5:$I$192,3,TRUE),1)</f>
        <v>0</v>
      </c>
      <c r="O19" s="42" t="str">
        <f>VLOOKUP($D19,Sheet1!$G$5:$I$192,2,TRUE)</f>
        <v/>
      </c>
      <c r="P19" s="23">
        <v>1</v>
      </c>
      <c r="Q19" s="43" t="str">
        <f>VLOOKUP($D19,Sheet1!$J$5:$L$192,2,TRUE)</f>
        <v>|'</v>
      </c>
      <c r="R19" s="23">
        <f>FLOOR(VLOOKUP($D19,Sheet1!$M$5:$O$192,3,TRUE),1)</f>
        <v>1</v>
      </c>
      <c r="S19" s="42" t="str">
        <f>VLOOKUP($D19,Sheet1!$M$5:$O$192,2,TRUE)</f>
        <v>|'</v>
      </c>
      <c r="T19" s="117">
        <f>IF(ABS(D19-VLOOKUP($D19,Sheet1!$M$5:$T$192,8,TRUE))&lt;10^-10,"SoCA",D19-VLOOKUP($D19,Sheet1!$M$5:$T$192,8,TRUE))</f>
        <v>-0.16047968362628912</v>
      </c>
      <c r="U19" s="109">
        <f>IF(VLOOKUP($D19,Sheet1!$M$5:$U$192,9,TRUE)=0,"",IF(ABS(D19-VLOOKUP($D19,Sheet1!$M$5:$U$192,9,TRUE))&lt;10^-10,"Alt.",D19-VLOOKUP($D19,Sheet1!$M$5:$U$192,9,TRUE)))</f>
        <v>-0.13351938842385502</v>
      </c>
      <c r="V19" s="132">
        <f>$D19-Sheet1!$M$3*$R19</f>
        <v>-0.22568199860585081</v>
      </c>
      <c r="Z19" s="6"/>
      <c r="AA19" s="61"/>
    </row>
    <row r="20" spans="1:27" ht="13.5">
      <c r="A20" t="s">
        <v>1065</v>
      </c>
      <c r="B20">
        <v>80896</v>
      </c>
      <c r="C20">
        <v>80919</v>
      </c>
      <c r="D20" s="13">
        <f t="shared" si="0"/>
        <v>0.49214699992802668</v>
      </c>
      <c r="E20" s="61" t="s">
        <v>1931</v>
      </c>
      <c r="F20" s="65">
        <v>119.33832459186728</v>
      </c>
      <c r="G20" s="6">
        <v>841</v>
      </c>
      <c r="H20" s="6">
        <v>914</v>
      </c>
      <c r="I20" s="65">
        <v>6.9696967162252923</v>
      </c>
      <c r="J20" s="6">
        <f>VLOOKUP($D20,Sheet1!$A$5:$C$192,3,TRUE)</f>
        <v>0</v>
      </c>
      <c r="K20" s="42" t="str">
        <f>VLOOKUP($D20,Sheet1!$A$5:$C$192,2,TRUE)</f>
        <v/>
      </c>
      <c r="L20" s="6">
        <f>FLOOR(VLOOKUP($D20,Sheet1!$D$5:$F$192,3,TRUE),1)</f>
        <v>0</v>
      </c>
      <c r="M20" s="42" t="str">
        <f>VLOOKUP($D20,Sheet1!$D$5:$F$192,2,TRUE)</f>
        <v/>
      </c>
      <c r="N20" s="23">
        <f>FLOOR(VLOOKUP($D20,Sheet1!$G$5:$I$192,3,TRUE),1)</f>
        <v>0</v>
      </c>
      <c r="O20" s="42" t="str">
        <f>VLOOKUP($D20,Sheet1!$G$5:$I$192,2,TRUE)</f>
        <v/>
      </c>
      <c r="P20" s="23">
        <v>1</v>
      </c>
      <c r="Q20" s="43" t="str">
        <f>VLOOKUP($D20,Sheet1!$J$5:$L$192,2,TRUE)</f>
        <v>|'</v>
      </c>
      <c r="R20" s="23">
        <f>FLOOR(VLOOKUP($D20,Sheet1!$M$5:$O$192,3,TRUE),1)</f>
        <v>1</v>
      </c>
      <c r="S20" s="42" t="str">
        <f>VLOOKUP($D20,Sheet1!$M$5:$O$192,2,TRUE)</f>
        <v>|'</v>
      </c>
      <c r="T20" s="117">
        <f>IF(ABS(D20-VLOOKUP($D20,Sheet1!$M$5:$T$192,8,TRUE))&lt;10^-10,"SoCA",D20-VLOOKUP($D20,Sheet1!$M$5:$T$192,8,TRUE))</f>
        <v>6.9430833973202433E-2</v>
      </c>
      <c r="U20" s="109">
        <f>IF(VLOOKUP($D20,Sheet1!$M$5:$U$192,9,TRUE)=0,"",IF(ABS(D20-VLOOKUP($D20,Sheet1!$M$5:$U$192,9,TRUE))&lt;10^-10,"Alt.",D20-VLOOKUP($D20,Sheet1!$M$5:$U$192,9,TRUE)))</f>
        <v>9.6391129175636525E-2</v>
      </c>
      <c r="V20" s="132">
        <f>$D20-Sheet1!$M$3*$R20</f>
        <v>4.2285189936407397E-3</v>
      </c>
      <c r="Z20" s="6"/>
      <c r="AA20" s="61"/>
    </row>
    <row r="21" spans="1:27" ht="13.5">
      <c r="A21" t="s">
        <v>1216</v>
      </c>
      <c r="B21">
        <v>2672</v>
      </c>
      <c r="C21">
        <v>2673</v>
      </c>
      <c r="D21" s="13">
        <f t="shared" si="0"/>
        <v>0.64779572283111986</v>
      </c>
      <c r="E21" s="61" t="s">
        <v>1931</v>
      </c>
      <c r="F21" s="65">
        <v>178.90547738255967</v>
      </c>
      <c r="G21" s="6">
        <v>1124</v>
      </c>
      <c r="H21" s="6">
        <v>1065</v>
      </c>
      <c r="I21" s="65">
        <v>4.9601128572969779</v>
      </c>
      <c r="J21" s="6">
        <f>VLOOKUP($D21,Sheet1!$A$5:$C$192,3,TRUE)</f>
        <v>0</v>
      </c>
      <c r="K21" s="42" t="str">
        <f>VLOOKUP($D21,Sheet1!$A$5:$C$192,2,TRUE)</f>
        <v/>
      </c>
      <c r="L21" s="6">
        <f>FLOOR(VLOOKUP($D21,Sheet1!$D$5:$F$192,3,TRUE),1)</f>
        <v>0</v>
      </c>
      <c r="M21" s="42" t="str">
        <f>VLOOKUP($D21,Sheet1!$D$5:$F$192,2,TRUE)</f>
        <v/>
      </c>
      <c r="N21" s="23">
        <f>FLOOR(VLOOKUP($D21,Sheet1!$G$5:$I$192,3,TRUE),1)</f>
        <v>0</v>
      </c>
      <c r="O21" s="42" t="str">
        <f>VLOOKUP($D21,Sheet1!$G$5:$I$192,2,TRUE)</f>
        <v/>
      </c>
      <c r="P21" s="23">
        <v>1</v>
      </c>
      <c r="Q21" s="43" t="str">
        <f>VLOOKUP($D21,Sheet1!$J$5:$L$192,2,TRUE)</f>
        <v>|'</v>
      </c>
      <c r="R21" s="23">
        <f>FLOOR(VLOOKUP($D21,Sheet1!$M$5:$O$192,3,TRUE),1)</f>
        <v>1</v>
      </c>
      <c r="S21" s="42" t="str">
        <f>VLOOKUP($D21,Sheet1!$M$5:$O$192,2,TRUE)</f>
        <v>.)|..</v>
      </c>
      <c r="T21" s="117">
        <f>IF(ABS(D21-VLOOKUP($D21,Sheet1!$M$5:$T$192,8,TRUE))&lt;10^-10,"SoCA",D21-VLOOKUP($D21,Sheet1!$M$5:$T$192,8,TRUE))</f>
        <v>5.6021986402032597E-2</v>
      </c>
      <c r="U21" s="109">
        <f>IF(VLOOKUP($D21,Sheet1!$M$5:$U$192,9,TRUE)=0,"",IF(ABS(D21-VLOOKUP($D21,Sheet1!$M$5:$U$192,9,TRUE))&lt;10^-10,"Alt.",D21-VLOOKUP($D21,Sheet1!$M$5:$U$192,9,TRUE)))</f>
        <v>4.1969819007575904E-2</v>
      </c>
      <c r="V21" s="132">
        <f>$D21-Sheet1!$M$3*$R21</f>
        <v>0.15987724189673391</v>
      </c>
      <c r="Z21" s="6"/>
      <c r="AA21" s="61"/>
    </row>
    <row r="22" spans="1:27" ht="13.5">
      <c r="A22" t="s">
        <v>1733</v>
      </c>
      <c r="B22">
        <v>1121931</v>
      </c>
      <c r="C22">
        <v>1122304</v>
      </c>
      <c r="D22" s="13">
        <f t="shared" si="0"/>
        <v>0.57547476645541218</v>
      </c>
      <c r="E22" s="61" t="s">
        <v>1931</v>
      </c>
      <c r="F22" s="65">
        <v>184.9944106399964</v>
      </c>
      <c r="G22" s="6">
        <v>1632</v>
      </c>
      <c r="H22" s="6">
        <v>1582</v>
      </c>
      <c r="I22" s="65">
        <v>-10.03543407793938</v>
      </c>
      <c r="J22" s="6">
        <f>VLOOKUP($D22,Sheet1!$A$5:$C$192,3,TRUE)</f>
        <v>0</v>
      </c>
      <c r="K22" s="42" t="str">
        <f>VLOOKUP($D22,Sheet1!$A$5:$C$192,2,TRUE)</f>
        <v/>
      </c>
      <c r="L22" s="6">
        <f>FLOOR(VLOOKUP($D22,Sheet1!$D$5:$F$192,3,TRUE),1)</f>
        <v>0</v>
      </c>
      <c r="M22" s="42" t="str">
        <f>VLOOKUP($D22,Sheet1!$D$5:$F$192,2,TRUE)</f>
        <v/>
      </c>
      <c r="N22" s="23">
        <f>FLOOR(VLOOKUP($D22,Sheet1!$G$5:$I$192,3,TRUE),1)</f>
        <v>0</v>
      </c>
      <c r="O22" s="42" t="str">
        <f>VLOOKUP($D22,Sheet1!$G$5:$I$192,2,TRUE)</f>
        <v/>
      </c>
      <c r="P22" s="23">
        <v>1</v>
      </c>
      <c r="Q22" s="43" t="str">
        <f>VLOOKUP($D22,Sheet1!$J$5:$L$192,2,TRUE)</f>
        <v>|'</v>
      </c>
      <c r="R22" s="23">
        <f>FLOOR(VLOOKUP($D22,Sheet1!$M$5:$O$192,3,TRUE),1)</f>
        <v>1</v>
      </c>
      <c r="S22" s="42" t="str">
        <f>VLOOKUP($D22,Sheet1!$M$5:$O$192,2,TRUE)</f>
        <v>.)|..</v>
      </c>
      <c r="T22" s="117">
        <f>IF(ABS(D22-VLOOKUP($D22,Sheet1!$M$5:$T$192,8,TRUE))&lt;10^-10,"SoCA",D22-VLOOKUP($D22,Sheet1!$M$5:$T$192,8,TRUE))</f>
        <v>-1.6298969973675081E-2</v>
      </c>
      <c r="U22" s="109">
        <f>IF(VLOOKUP($D22,Sheet1!$M$5:$U$192,9,TRUE)=0,"",IF(ABS(D22-VLOOKUP($D22,Sheet1!$M$5:$U$192,9,TRUE))&lt;10^-10,"Alt.",D22-VLOOKUP($D22,Sheet1!$M$5:$U$192,9,TRUE)))</f>
        <v>-3.0351137368131775E-2</v>
      </c>
      <c r="V22" s="132">
        <f>$D22-Sheet1!$M$3*$R22</f>
        <v>8.7556285521026234E-2</v>
      </c>
      <c r="Z22" s="6"/>
      <c r="AA22" s="61"/>
    </row>
    <row r="23" spans="1:27" ht="13.5">
      <c r="A23" t="s">
        <v>1726</v>
      </c>
      <c r="B23">
        <v>8912896</v>
      </c>
      <c r="C23">
        <v>8916399</v>
      </c>
      <c r="D23" s="13">
        <f t="shared" si="0"/>
        <v>0.68028634356153017</v>
      </c>
      <c r="E23" s="61" t="s">
        <v>1931</v>
      </c>
      <c r="F23" s="65">
        <v>196.63676749141828</v>
      </c>
      <c r="G23" s="6">
        <v>1628</v>
      </c>
      <c r="H23" s="6">
        <v>1575</v>
      </c>
      <c r="I23" s="65">
        <v>9.9581122914088311</v>
      </c>
      <c r="J23" s="6">
        <f>VLOOKUP($D23,Sheet1!$A$5:$C$192,3,TRUE)</f>
        <v>0</v>
      </c>
      <c r="K23" s="42" t="str">
        <f>VLOOKUP($D23,Sheet1!$A$5:$C$192,2,TRUE)</f>
        <v/>
      </c>
      <c r="L23" s="6">
        <f>FLOOR(VLOOKUP($D23,Sheet1!$D$5:$F$192,3,TRUE),1)</f>
        <v>0</v>
      </c>
      <c r="M23" s="42" t="str">
        <f>VLOOKUP($D23,Sheet1!$D$5:$F$192,2,TRUE)</f>
        <v/>
      </c>
      <c r="N23" s="23">
        <f>FLOOR(VLOOKUP($D23,Sheet1!$G$5:$I$192,3,TRUE),1)</f>
        <v>0</v>
      </c>
      <c r="O23" s="42" t="str">
        <f>VLOOKUP($D23,Sheet1!$G$5:$I$192,2,TRUE)</f>
        <v/>
      </c>
      <c r="P23" s="23">
        <v>1</v>
      </c>
      <c r="Q23" s="43" t="str">
        <f>VLOOKUP($D23,Sheet1!$J$5:$L$192,2,TRUE)</f>
        <v>|'</v>
      </c>
      <c r="R23" s="23">
        <f>FLOOR(VLOOKUP($D23,Sheet1!$M$5:$O$192,3,TRUE),1)</f>
        <v>1</v>
      </c>
      <c r="S23" s="42" t="str">
        <f>VLOOKUP($D23,Sheet1!$M$5:$O$192,2,TRUE)</f>
        <v>.)|..</v>
      </c>
      <c r="T23" s="117">
        <f>IF(ABS(D23-VLOOKUP($D23,Sheet1!$M$5:$T$192,8,TRUE))&lt;10^-10,"SoCA",D23-VLOOKUP($D23,Sheet1!$M$5:$T$192,8,TRUE))</f>
        <v>8.8512607132442911E-2</v>
      </c>
      <c r="U23" s="109">
        <f>IF(VLOOKUP($D23,Sheet1!$M$5:$U$192,9,TRUE)=0,"",IF(ABS(D23-VLOOKUP($D23,Sheet1!$M$5:$U$192,9,TRUE))&lt;10^-10,"Alt.",D23-VLOOKUP($D23,Sheet1!$M$5:$U$192,9,TRUE)))</f>
        <v>7.4460439737986217E-2</v>
      </c>
      <c r="V23" s="132">
        <f>$D23-Sheet1!$M$3*$R23</f>
        <v>0.19236786262714423</v>
      </c>
      <c r="Z23" s="6"/>
      <c r="AA23" s="61"/>
    </row>
    <row r="24" spans="1:27" ht="13.5">
      <c r="A24" t="s">
        <v>1630</v>
      </c>
      <c r="B24">
        <v>2145447</v>
      </c>
      <c r="C24">
        <v>2146304</v>
      </c>
      <c r="D24" s="13">
        <f t="shared" si="0"/>
        <v>0.69140432414192021</v>
      </c>
      <c r="E24" s="61" t="s">
        <v>1931</v>
      </c>
      <c r="F24" s="65">
        <v>255.75753694178553</v>
      </c>
      <c r="G24" s="6">
        <v>1538</v>
      </c>
      <c r="H24" s="6">
        <v>1479</v>
      </c>
      <c r="I24" s="65">
        <v>-9.0425722831605118</v>
      </c>
      <c r="J24" s="6">
        <f>VLOOKUP($D24,Sheet1!$A$5:$C$192,3,TRUE)</f>
        <v>0</v>
      </c>
      <c r="K24" s="42" t="str">
        <f>VLOOKUP($D24,Sheet1!$A$5:$C$192,2,TRUE)</f>
        <v/>
      </c>
      <c r="L24" s="6">
        <f>FLOOR(VLOOKUP($D24,Sheet1!$D$5:$F$192,3,TRUE),1)</f>
        <v>0</v>
      </c>
      <c r="M24" s="42" t="str">
        <f>VLOOKUP($D24,Sheet1!$D$5:$F$192,2,TRUE)</f>
        <v/>
      </c>
      <c r="N24" s="23">
        <f>FLOOR(VLOOKUP($D24,Sheet1!$G$5:$I$192,3,TRUE),1)</f>
        <v>0</v>
      </c>
      <c r="O24" s="42" t="str">
        <f>VLOOKUP($D24,Sheet1!$G$5:$I$192,2,TRUE)</f>
        <v/>
      </c>
      <c r="P24" s="23">
        <v>1</v>
      </c>
      <c r="Q24" s="43" t="str">
        <f>VLOOKUP($D24,Sheet1!$J$5:$L$192,2,TRUE)</f>
        <v>|'</v>
      </c>
      <c r="R24" s="23">
        <f>FLOOR(VLOOKUP($D24,Sheet1!$M$5:$O$192,3,TRUE),1)</f>
        <v>1</v>
      </c>
      <c r="S24" s="42" t="str">
        <f>VLOOKUP($D24,Sheet1!$M$5:$O$192,2,TRUE)</f>
        <v>.)|..</v>
      </c>
      <c r="T24" s="117">
        <f>IF(ABS(D24-VLOOKUP($D24,Sheet1!$M$5:$T$192,8,TRUE))&lt;10^-10,"SoCA",D24-VLOOKUP($D24,Sheet1!$M$5:$T$192,8,TRUE))</f>
        <v>9.9630587712832952E-2</v>
      </c>
      <c r="U24" s="109">
        <f>IF(VLOOKUP($D24,Sheet1!$M$5:$U$192,9,TRUE)=0,"",IF(ABS(D24-VLOOKUP($D24,Sheet1!$M$5:$U$192,9,TRUE))&lt;10^-10,"Alt.",D24-VLOOKUP($D24,Sheet1!$M$5:$U$192,9,TRUE)))</f>
        <v>8.5578420318376258E-2</v>
      </c>
      <c r="V24" s="132">
        <f>$D24-Sheet1!$M$3*$R24</f>
        <v>0.20348584320753427</v>
      </c>
      <c r="Z24" s="6"/>
      <c r="AA24" s="61"/>
    </row>
    <row r="25" spans="1:27" ht="13.5">
      <c r="A25" t="s">
        <v>1625</v>
      </c>
      <c r="B25">
        <v>3915776</v>
      </c>
      <c r="C25">
        <v>3916917</v>
      </c>
      <c r="D25" s="13">
        <f t="shared" si="0"/>
        <v>0.50438286396695287</v>
      </c>
      <c r="E25" s="61" t="s">
        <v>1931</v>
      </c>
      <c r="F25" s="65">
        <v>455.03267582683856</v>
      </c>
      <c r="G25" s="6">
        <v>1531</v>
      </c>
      <c r="H25" s="6">
        <v>1474</v>
      </c>
      <c r="I25" s="65">
        <v>8.9689433094987354</v>
      </c>
      <c r="J25" s="6">
        <f>VLOOKUP($D25,Sheet1!$A$5:$C$192,3,TRUE)</f>
        <v>0</v>
      </c>
      <c r="K25" s="42" t="str">
        <f>VLOOKUP($D25,Sheet1!$A$5:$C$192,2,TRUE)</f>
        <v/>
      </c>
      <c r="L25" s="6">
        <f>FLOOR(VLOOKUP($D25,Sheet1!$D$5:$F$192,3,TRUE),1)</f>
        <v>0</v>
      </c>
      <c r="M25" s="42" t="str">
        <f>VLOOKUP($D25,Sheet1!$D$5:$F$192,2,TRUE)</f>
        <v/>
      </c>
      <c r="N25" s="23">
        <f>FLOOR(VLOOKUP($D25,Sheet1!$G$5:$I$192,3,TRUE),1)</f>
        <v>0</v>
      </c>
      <c r="O25" s="42" t="str">
        <f>VLOOKUP($D25,Sheet1!$G$5:$I$192,2,TRUE)</f>
        <v/>
      </c>
      <c r="P25" s="23">
        <v>1</v>
      </c>
      <c r="Q25" s="43" t="str">
        <f>VLOOKUP($D25,Sheet1!$J$5:$L$192,2,TRUE)</f>
        <v>|'</v>
      </c>
      <c r="R25" s="23">
        <f>FLOOR(VLOOKUP($D25,Sheet1!$M$5:$O$192,3,TRUE),1)</f>
        <v>1</v>
      </c>
      <c r="S25" s="42" t="str">
        <f>VLOOKUP($D25,Sheet1!$M$5:$O$192,2,TRUE)</f>
        <v>|'</v>
      </c>
      <c r="T25" s="117">
        <f>IF(ABS(D25-VLOOKUP($D25,Sheet1!$M$5:$T$192,8,TRUE))&lt;10^-10,"SoCA",D25-VLOOKUP($D25,Sheet1!$M$5:$T$192,8,TRUE))</f>
        <v>8.1666698012128613E-2</v>
      </c>
      <c r="U25" s="109">
        <f>IF(VLOOKUP($D25,Sheet1!$M$5:$U$192,9,TRUE)=0,"",IF(ABS(D25-VLOOKUP($D25,Sheet1!$M$5:$U$192,9,TRUE))&lt;10^-10,"Alt.",D25-VLOOKUP($D25,Sheet1!$M$5:$U$192,9,TRUE)))</f>
        <v>0.10862699321456271</v>
      </c>
      <c r="V25" s="132">
        <f>$D25-Sheet1!$M$3*$R25</f>
        <v>1.646438303256692E-2</v>
      </c>
      <c r="Z25" s="6"/>
      <c r="AA25" s="61"/>
    </row>
    <row r="26" spans="1:27" ht="13.5">
      <c r="A26" s="38" t="s">
        <v>11</v>
      </c>
      <c r="B26" s="38">
        <f>3^3*7*11</f>
        <v>2079</v>
      </c>
      <c r="C26" s="38">
        <f>2^5*5*13</f>
        <v>2080</v>
      </c>
      <c r="D26" s="13">
        <f t="shared" si="0"/>
        <v>0.83252420410159889</v>
      </c>
      <c r="E26" s="61">
        <v>13</v>
      </c>
      <c r="F26" s="65">
        <v>36.163667509583632</v>
      </c>
      <c r="G26" s="6">
        <v>346</v>
      </c>
      <c r="H26" s="6">
        <v>318</v>
      </c>
      <c r="I26" s="65">
        <v>-3.0512615482973438</v>
      </c>
      <c r="J26" s="6">
        <f>VLOOKUP($D26,Sheet1!$A$5:$C$192,3,TRUE)</f>
        <v>0</v>
      </c>
      <c r="K26" s="42" t="str">
        <f>VLOOKUP($D26,Sheet1!$A$5:$C$192,2,TRUE)</f>
        <v/>
      </c>
      <c r="L26" s="6">
        <f>FLOOR(VLOOKUP($D26,Sheet1!$D$5:$F$192,3,TRUE),1)</f>
        <v>0</v>
      </c>
      <c r="M26" s="42" t="str">
        <f>VLOOKUP($D26,Sheet1!$D$5:$F$192,2,TRUE)</f>
        <v/>
      </c>
      <c r="N26" s="23">
        <f>FLOOR(VLOOKUP($D26,Sheet1!$G$5:$I$192,3,TRUE),1)</f>
        <v>0</v>
      </c>
      <c r="O26" s="42" t="str">
        <f>VLOOKUP($D26,Sheet1!$G$5:$I$192,2,TRUE)</f>
        <v/>
      </c>
      <c r="P26" s="23">
        <v>1</v>
      </c>
      <c r="Q26" s="45" t="str">
        <f>VLOOKUP($D26,Sheet1!$J$5:$L$192,2,TRUE)</f>
        <v>|''</v>
      </c>
      <c r="R26" s="38">
        <f>FLOOR(VLOOKUP($D26,Sheet1!$M$5:$O$192,3,TRUE),1)</f>
        <v>2</v>
      </c>
      <c r="S26" s="45" t="str">
        <f>VLOOKUP($D26,Sheet1!$M$5:$O$192,2,TRUE)</f>
        <v>|''</v>
      </c>
      <c r="T26" s="112" t="str">
        <f>IF(ABS(D26-VLOOKUP($D26,Sheet1!$M$5:$T$192,8,TRUE))&lt;10^-10,"SoCA",D26-VLOOKUP($D26,Sheet1!$M$5:$T$192,8,TRUE))</f>
        <v>SoCA</v>
      </c>
      <c r="U26" s="108">
        <f>IF(VLOOKUP($D26,Sheet1!$M$5:$U$192,9,TRUE)=0,"",IF(ABS(D26-VLOOKUP($D26,Sheet1!$M$5:$U$192,9,TRUE))&lt;10^-10,"Alt.",D26-VLOOKUP($D26,Sheet1!$M$5:$U$192,9,TRUE)))</f>
        <v>1.4052167394456694E-2</v>
      </c>
      <c r="V26" s="133">
        <f>$D26-Sheet1!$M$3*$R26</f>
        <v>-0.143312757767173</v>
      </c>
      <c r="Z26" s="6"/>
      <c r="AA26" s="61"/>
    </row>
    <row r="27" spans="1:27" ht="13.5">
      <c r="A27" s="6" t="s">
        <v>1125</v>
      </c>
      <c r="B27" s="6">
        <f>2^3*11*23</f>
        <v>2024</v>
      </c>
      <c r="C27" s="6">
        <f>3^4*5^2</f>
        <v>2025</v>
      </c>
      <c r="D27" s="13">
        <f t="shared" si="0"/>
        <v>0.8551415580472429</v>
      </c>
      <c r="E27" s="61">
        <v>23</v>
      </c>
      <c r="F27" s="65">
        <v>44.332343179230953</v>
      </c>
      <c r="G27" s="6">
        <v>1035</v>
      </c>
      <c r="H27" s="6">
        <v>974</v>
      </c>
      <c r="I27" s="65">
        <v>3.9473458188207164</v>
      </c>
      <c r="J27" s="6">
        <f>VLOOKUP($D27,Sheet1!$A$5:$C$192,3,TRUE)</f>
        <v>0</v>
      </c>
      <c r="K27" s="42" t="str">
        <f>VLOOKUP($D27,Sheet1!$A$5:$C$192,2,TRUE)</f>
        <v/>
      </c>
      <c r="L27" s="6">
        <f>FLOOR(VLOOKUP($D27,Sheet1!$D$5:$F$192,3,TRUE),1)</f>
        <v>0</v>
      </c>
      <c r="M27" s="42" t="str">
        <f>VLOOKUP($D27,Sheet1!$D$5:$F$192,2,TRUE)</f>
        <v/>
      </c>
      <c r="N27" s="23">
        <f>FLOOR(VLOOKUP($D27,Sheet1!$G$5:$I$192,3,TRUE),1)</f>
        <v>0</v>
      </c>
      <c r="O27" s="42" t="str">
        <f>VLOOKUP($D27,Sheet1!$G$5:$I$192,2,TRUE)</f>
        <v/>
      </c>
      <c r="P27" s="23">
        <v>1</v>
      </c>
      <c r="Q27" s="43" t="str">
        <f>VLOOKUP($D27,Sheet1!$J$5:$L$192,2,TRUE)</f>
        <v>|''</v>
      </c>
      <c r="R27" s="23">
        <f>FLOOR(VLOOKUP($D27,Sheet1!$M$5:$O$192,3,TRUE),1)</f>
        <v>2</v>
      </c>
      <c r="S27" s="42" t="str">
        <f>VLOOKUP($D27,Sheet1!$M$5:$O$192,2,TRUE)</f>
        <v>|''</v>
      </c>
      <c r="T27" s="117">
        <f>IF(ABS(D27-VLOOKUP($D27,Sheet1!$M$5:$T$192,8,TRUE))&lt;10^-10,"SoCA",D27-VLOOKUP($D27,Sheet1!$M$5:$T$192,8,TRUE))</f>
        <v>2.2617353945644014E-2</v>
      </c>
      <c r="U27" s="109">
        <f>IF(VLOOKUP($D27,Sheet1!$M$5:$U$192,9,TRUE)=0,"",IF(ABS(D27-VLOOKUP($D27,Sheet1!$M$5:$U$192,9,TRUE))&lt;10^-10,"Alt.",D27-VLOOKUP($D27,Sheet1!$M$5:$U$192,9,TRUE)))</f>
        <v>3.6669521340100708E-2</v>
      </c>
      <c r="V27" s="132">
        <f>$D27-Sheet1!$M$3*$R27</f>
        <v>-0.12069540382152899</v>
      </c>
      <c r="Z27" s="6"/>
      <c r="AA27" s="61"/>
    </row>
    <row r="28" spans="1:27" ht="13.5">
      <c r="A28" s="6" t="s">
        <v>1122</v>
      </c>
      <c r="B28" s="6">
        <f>2^12*5</f>
        <v>20480</v>
      </c>
      <c r="C28" s="6">
        <f>3^4*11*23</f>
        <v>20493</v>
      </c>
      <c r="D28" s="13">
        <f t="shared" si="0"/>
        <v>1.0985792298871613</v>
      </c>
      <c r="E28" s="61">
        <v>23</v>
      </c>
      <c r="F28" s="65">
        <v>47.120719110495457</v>
      </c>
      <c r="G28" s="6">
        <v>1032</v>
      </c>
      <c r="H28" s="6">
        <v>971</v>
      </c>
      <c r="I28" s="65">
        <v>3.9323564744738082</v>
      </c>
      <c r="J28" s="6">
        <f>VLOOKUP($D28,Sheet1!$A$5:$C$192,3,TRUE)</f>
        <v>0</v>
      </c>
      <c r="K28" s="42" t="str">
        <f>VLOOKUP($D28,Sheet1!$A$5:$C$192,2,TRUE)</f>
        <v/>
      </c>
      <c r="L28" s="6">
        <f>FLOOR(VLOOKUP($D28,Sheet1!$D$5:$F$192,3,TRUE),1)</f>
        <v>0</v>
      </c>
      <c r="M28" s="42" t="str">
        <f>VLOOKUP($D28,Sheet1!$D$5:$F$192,2,TRUE)</f>
        <v/>
      </c>
      <c r="N28" s="23">
        <f>FLOOR(VLOOKUP($D28,Sheet1!$G$5:$I$192,3,TRUE),1)</f>
        <v>0</v>
      </c>
      <c r="O28" s="42" t="str">
        <f>VLOOKUP($D28,Sheet1!$G$5:$I$192,2,TRUE)</f>
        <v/>
      </c>
      <c r="P28" s="23">
        <v>1</v>
      </c>
      <c r="Q28" s="43" t="str">
        <f>VLOOKUP($D28,Sheet1!$J$5:$L$192,2,TRUE)</f>
        <v>|''</v>
      </c>
      <c r="R28" s="23">
        <f>FLOOR(VLOOKUP($D28,Sheet1!$M$5:$O$192,3,TRUE),1)</f>
        <v>2</v>
      </c>
      <c r="S28" s="42" t="str">
        <f>VLOOKUP($D28,Sheet1!$M$5:$O$192,2,TRUE)</f>
        <v>|''</v>
      </c>
      <c r="T28" s="117">
        <f>IF(ABS(D28-VLOOKUP($D28,Sheet1!$M$5:$T$192,8,TRUE))&lt;10^-10,"SoCA",D28-VLOOKUP($D28,Sheet1!$M$5:$T$192,8,TRUE))</f>
        <v>0.26605502578556239</v>
      </c>
      <c r="U28" s="109">
        <f>IF(VLOOKUP($D28,Sheet1!$M$5:$U$192,9,TRUE)=0,"",IF(ABS(D28-VLOOKUP($D28,Sheet1!$M$5:$U$192,9,TRUE))&lt;10^-10,"Alt.",D28-VLOOKUP($D28,Sheet1!$M$5:$U$192,9,TRUE)))</f>
        <v>0.28010719318001909</v>
      </c>
      <c r="V28" s="132">
        <f>$D28-Sheet1!$M$3*$R28</f>
        <v>0.12274226801838939</v>
      </c>
      <c r="Z28" s="6"/>
      <c r="AA28" s="61"/>
    </row>
    <row r="29" spans="1:27" ht="13.5">
      <c r="A29" s="23" t="s">
        <v>1632</v>
      </c>
      <c r="B29" s="23">
        <f>3^9*13</f>
        <v>255879</v>
      </c>
      <c r="C29" s="23">
        <f>2^11*5^3</f>
        <v>256000</v>
      </c>
      <c r="D29" s="13">
        <f t="shared" si="0"/>
        <v>0.81847203670714219</v>
      </c>
      <c r="E29" s="61">
        <v>13</v>
      </c>
      <c r="F29" s="65">
        <v>48.991031986309096</v>
      </c>
      <c r="G29" s="6">
        <v>1540</v>
      </c>
      <c r="H29" s="6">
        <v>1481</v>
      </c>
      <c r="I29" s="65">
        <v>-9.050396305156033</v>
      </c>
      <c r="J29" s="6">
        <f>VLOOKUP($D29,Sheet1!$A$5:$C$192,3,TRUE)</f>
        <v>0</v>
      </c>
      <c r="K29" s="42" t="str">
        <f>VLOOKUP($D29,Sheet1!$A$5:$C$192,2,TRUE)</f>
        <v/>
      </c>
      <c r="L29" s="6">
        <f>FLOOR(VLOOKUP($D29,Sheet1!$D$5:$F$192,3,TRUE),1)</f>
        <v>0</v>
      </c>
      <c r="M29" s="42" t="str">
        <f>VLOOKUP($D29,Sheet1!$D$5:$F$192,2,TRUE)</f>
        <v/>
      </c>
      <c r="N29" s="23">
        <f>FLOOR(VLOOKUP($D29,Sheet1!$G$5:$I$192,3,TRUE),1)</f>
        <v>0</v>
      </c>
      <c r="O29" s="42" t="str">
        <f>VLOOKUP($D29,Sheet1!$G$5:$I$192,2,TRUE)</f>
        <v/>
      </c>
      <c r="P29" s="23">
        <v>1</v>
      </c>
      <c r="Q29" s="43" t="str">
        <f>VLOOKUP($D29,Sheet1!$J$5:$L$192,2,TRUE)</f>
        <v>|''</v>
      </c>
      <c r="R29" s="23">
        <f>FLOOR(VLOOKUP($D29,Sheet1!$M$5:$O$192,3,TRUE),1)</f>
        <v>2</v>
      </c>
      <c r="S29" s="43" t="str">
        <f>VLOOKUP($D29,Sheet1!$M$5:$O$192,2,TRUE)</f>
        <v>|''</v>
      </c>
      <c r="T29" s="117">
        <f>IF(ABS(D29-VLOOKUP($D29,Sheet1!$M$5:$T$192,8,TRUE))&lt;10^-10,"SoCA",D29-VLOOKUP($D29,Sheet1!$M$5:$T$192,8,TRUE))</f>
        <v>-1.4052167394456694E-2</v>
      </c>
      <c r="U29" s="124" t="str">
        <f>IF(VLOOKUP($D29,Sheet1!$M$5:$U$192,9,TRUE)=0,"",IF(ABS(D29-VLOOKUP($D29,Sheet1!$M$5:$U$192,9,TRUE))&lt;10^-10,"Alt.",D29-VLOOKUP($D29,Sheet1!$M$5:$U$192,9,TRUE)))</f>
        <v>Alt.</v>
      </c>
      <c r="V29" s="132">
        <f>$D29-Sheet1!$M$3*$R29</f>
        <v>-0.1573649251616297</v>
      </c>
      <c r="Z29" s="6"/>
      <c r="AA29" s="61"/>
    </row>
    <row r="30" spans="1:27" ht="13.5">
      <c r="A30" s="23" t="s">
        <v>928</v>
      </c>
      <c r="B30" s="23">
        <f>2^4*5*19</f>
        <v>1520</v>
      </c>
      <c r="C30" s="23">
        <f>3^2*13^2</f>
        <v>1521</v>
      </c>
      <c r="D30" s="13">
        <f t="shared" si="0"/>
        <v>1.1385952722585659</v>
      </c>
      <c r="E30" s="61">
        <v>19</v>
      </c>
      <c r="F30" s="65">
        <v>50.085240267000778</v>
      </c>
      <c r="G30" s="6">
        <v>839</v>
      </c>
      <c r="H30" s="6">
        <v>776</v>
      </c>
      <c r="I30" s="65">
        <v>1.929892540958621</v>
      </c>
      <c r="J30" s="6">
        <f>VLOOKUP($D30,Sheet1!$A$5:$C$192,3,TRUE)</f>
        <v>0</v>
      </c>
      <c r="K30" s="42" t="str">
        <f>VLOOKUP($D30,Sheet1!$A$5:$C$192,2,TRUE)</f>
        <v/>
      </c>
      <c r="L30" s="6">
        <f>FLOOR(VLOOKUP($D30,Sheet1!$D$5:$F$192,3,TRUE),1)</f>
        <v>0</v>
      </c>
      <c r="M30" s="42" t="str">
        <f>VLOOKUP($D30,Sheet1!$D$5:$F$192,2,TRUE)</f>
        <v/>
      </c>
      <c r="N30" s="23">
        <f>FLOOR(VLOOKUP($D30,Sheet1!$G$5:$I$192,3,TRUE),1)</f>
        <v>0</v>
      </c>
      <c r="O30" s="42" t="str">
        <f>VLOOKUP($D30,Sheet1!$G$5:$I$192,2,TRUE)</f>
        <v/>
      </c>
      <c r="P30" s="23">
        <v>1</v>
      </c>
      <c r="Q30" s="43" t="str">
        <f>VLOOKUP($D30,Sheet1!$J$5:$L$192,2,TRUE)</f>
        <v>|''</v>
      </c>
      <c r="R30" s="23">
        <f>FLOOR(VLOOKUP($D30,Sheet1!$M$5:$O$192,3,TRUE),1)</f>
        <v>2</v>
      </c>
      <c r="S30" s="43" t="str">
        <f>VLOOKUP($D30,Sheet1!$M$5:$O$192,2,TRUE)</f>
        <v>|''</v>
      </c>
      <c r="T30" s="117">
        <f>IF(ABS(D30-VLOOKUP($D30,Sheet1!$M$5:$T$192,8,TRUE))&lt;10^-10,"SoCA",D30-VLOOKUP($D30,Sheet1!$M$5:$T$192,8,TRUE))</f>
        <v>0.30607106815696705</v>
      </c>
      <c r="U30" s="117">
        <f>IF(VLOOKUP($D30,Sheet1!$M$5:$U$192,9,TRUE)=0,"",IF(ABS(D30-VLOOKUP($D30,Sheet1!$M$5:$U$192,9,TRUE))&lt;10^-10,"Alt.",D30-VLOOKUP($D30,Sheet1!$M$5:$U$192,9,TRUE)))</f>
        <v>0.32012323555142375</v>
      </c>
      <c r="V30" s="132">
        <f>$D30-Sheet1!$M$3*$R30</f>
        <v>0.16275831038979405</v>
      </c>
      <c r="Z30" s="6"/>
      <c r="AA30" s="61"/>
    </row>
    <row r="31" spans="1:27" ht="13.5">
      <c r="A31" s="21" t="s">
        <v>364</v>
      </c>
      <c r="B31" s="21">
        <f>2^8*37</f>
        <v>9472</v>
      </c>
      <c r="C31" s="21">
        <f>3^6*13</f>
        <v>9477</v>
      </c>
      <c r="D31" s="13">
        <f t="shared" si="0"/>
        <v>0.9136282068955166</v>
      </c>
      <c r="E31" s="61">
        <v>37</v>
      </c>
      <c r="F31" s="65">
        <v>51.370263462217729</v>
      </c>
      <c r="G31" s="6">
        <v>202</v>
      </c>
      <c r="H31" s="6">
        <v>199</v>
      </c>
      <c r="I31" s="65">
        <v>5.9437445827726654</v>
      </c>
      <c r="J31" s="6">
        <f>VLOOKUP($D31,Sheet1!$A$5:$C$192,3,TRUE)</f>
        <v>0</v>
      </c>
      <c r="K31" s="42" t="str">
        <f>VLOOKUP($D31,Sheet1!$A$5:$C$192,2,TRUE)</f>
        <v/>
      </c>
      <c r="L31" s="6">
        <f>FLOOR(VLOOKUP($D31,Sheet1!$D$5:$F$192,3,TRUE),1)</f>
        <v>0</v>
      </c>
      <c r="M31" s="42" t="str">
        <f>VLOOKUP($D31,Sheet1!$D$5:$F$192,2,TRUE)</f>
        <v/>
      </c>
      <c r="N31" s="23">
        <f>FLOOR(VLOOKUP($D31,Sheet1!$G$5:$I$192,3,TRUE),1)</f>
        <v>0</v>
      </c>
      <c r="O31" s="42" t="str">
        <f>VLOOKUP($D31,Sheet1!$G$5:$I$192,2,TRUE)</f>
        <v/>
      </c>
      <c r="P31" s="23">
        <v>1</v>
      </c>
      <c r="Q31" s="43" t="str">
        <f>VLOOKUP($D31,Sheet1!$J$5:$L$192,2,TRUE)</f>
        <v>|''</v>
      </c>
      <c r="R31" s="23">
        <f>FLOOR(VLOOKUP($D31,Sheet1!$M$5:$O$192,3,TRUE),1)</f>
        <v>2</v>
      </c>
      <c r="S31" s="43" t="str">
        <f>VLOOKUP($D31,Sheet1!$M$5:$O$192,2,TRUE)</f>
        <v>|''</v>
      </c>
      <c r="T31" s="117">
        <f>IF(ABS(D31-VLOOKUP($D31,Sheet1!$M$5:$T$192,8,TRUE))&lt;10^-10,"SoCA",D31-VLOOKUP($D31,Sheet1!$M$5:$T$192,8,TRUE))</f>
        <v>8.1104002793917718E-2</v>
      </c>
      <c r="U31" s="109">
        <f>IF(VLOOKUP($D31,Sheet1!$M$5:$U$192,9,TRUE)=0,"",IF(ABS(D31-VLOOKUP($D31,Sheet1!$M$5:$U$192,9,TRUE))&lt;10^-10,"Alt.",D31-VLOOKUP($D31,Sheet1!$M$5:$U$192,9,TRUE)))</f>
        <v>9.5156170188374412E-2</v>
      </c>
      <c r="V31" s="132">
        <f>$D31-Sheet1!$M$3*$R31</f>
        <v>-6.2208754973255287E-2</v>
      </c>
      <c r="Z31" s="6"/>
      <c r="AA31" s="61"/>
    </row>
    <row r="32" spans="1:27" ht="13.5">
      <c r="A32" s="6" t="s">
        <v>930</v>
      </c>
      <c r="B32" s="6">
        <f>2^7*13</f>
        <v>1664</v>
      </c>
      <c r="C32" s="6">
        <f>3^2*5*37</f>
        <v>1665</v>
      </c>
      <c r="D32" s="13">
        <f t="shared" si="0"/>
        <v>1.040092581038651</v>
      </c>
      <c r="E32" s="61">
        <v>37</v>
      </c>
      <c r="F32" s="65">
        <v>66.087400096593285</v>
      </c>
      <c r="G32" s="6">
        <v>840</v>
      </c>
      <c r="H32" s="6">
        <v>778</v>
      </c>
      <c r="I32" s="65">
        <v>1.9359577105218735</v>
      </c>
      <c r="J32" s="6">
        <f>VLOOKUP($D32,Sheet1!$A$5:$C$192,3,TRUE)</f>
        <v>0</v>
      </c>
      <c r="K32" s="42" t="str">
        <f>VLOOKUP($D32,Sheet1!$A$5:$C$192,2,TRUE)</f>
        <v/>
      </c>
      <c r="L32" s="6">
        <f>FLOOR(VLOOKUP($D32,Sheet1!$D$5:$F$192,3,TRUE),1)</f>
        <v>0</v>
      </c>
      <c r="M32" s="42" t="str">
        <f>VLOOKUP($D32,Sheet1!$D$5:$F$192,2,TRUE)</f>
        <v/>
      </c>
      <c r="N32" s="23">
        <f>FLOOR(VLOOKUP($D32,Sheet1!$G$5:$I$192,3,TRUE),1)</f>
        <v>0</v>
      </c>
      <c r="O32" s="42" t="str">
        <f>VLOOKUP($D32,Sheet1!$G$5:$I$192,2,TRUE)</f>
        <v/>
      </c>
      <c r="P32" s="23">
        <v>1</v>
      </c>
      <c r="Q32" s="43" t="str">
        <f>VLOOKUP($D32,Sheet1!$J$5:$L$192,2,TRUE)</f>
        <v>|''</v>
      </c>
      <c r="R32" s="23">
        <f>FLOOR(VLOOKUP($D32,Sheet1!$M$5:$O$192,3,TRUE),1)</f>
        <v>2</v>
      </c>
      <c r="S32" s="42" t="str">
        <f>VLOOKUP($D32,Sheet1!$M$5:$O$192,2,TRUE)</f>
        <v>|''</v>
      </c>
      <c r="T32" s="117">
        <f>IF(ABS(D32-VLOOKUP($D32,Sheet1!$M$5:$T$192,8,TRUE))&lt;10^-10,"SoCA",D32-VLOOKUP($D32,Sheet1!$M$5:$T$192,8,TRUE))</f>
        <v>0.2075683769370521</v>
      </c>
      <c r="U32" s="109">
        <f>IF(VLOOKUP($D32,Sheet1!$M$5:$U$192,9,TRUE)=0,"",IF(ABS(D32-VLOOKUP($D32,Sheet1!$M$5:$U$192,9,TRUE))&lt;10^-10,"Alt.",D32-VLOOKUP($D32,Sheet1!$M$5:$U$192,9,TRUE)))</f>
        <v>0.2216205443315088</v>
      </c>
      <c r="V32" s="132">
        <f>$D32-Sheet1!$M$3*$R32</f>
        <v>6.4255619169879097E-2</v>
      </c>
      <c r="Z32" s="6"/>
      <c r="AA32" s="61"/>
    </row>
    <row r="33" spans="1:27" ht="13.5">
      <c r="A33" s="6" t="s">
        <v>1809</v>
      </c>
      <c r="B33" s="6">
        <f>2^20*13</f>
        <v>13631488</v>
      </c>
      <c r="C33" s="6">
        <f>3^11*7*11</f>
        <v>13640319</v>
      </c>
      <c r="D33" s="13">
        <f t="shared" si="0"/>
        <v>1.1211965838327278</v>
      </c>
      <c r="E33" s="61">
        <v>13</v>
      </c>
      <c r="F33" s="65">
        <v>75.834275758336645</v>
      </c>
      <c r="G33" s="59">
        <v>938</v>
      </c>
      <c r="H33" s="63">
        <v>1000014</v>
      </c>
      <c r="I33" s="65">
        <v>10.930963841591874</v>
      </c>
      <c r="J33" s="6">
        <f>VLOOKUP($D33,Sheet1!$A$5:$C$192,3,TRUE)</f>
        <v>0</v>
      </c>
      <c r="K33" s="42" t="str">
        <f>VLOOKUP($D33,Sheet1!$A$5:$C$192,2,TRUE)</f>
        <v/>
      </c>
      <c r="L33" s="6">
        <f>FLOOR(VLOOKUP($D33,Sheet1!$D$5:$F$192,3,TRUE),1)</f>
        <v>0</v>
      </c>
      <c r="M33" s="42" t="str">
        <f>VLOOKUP($D33,Sheet1!$D$5:$F$192,2,TRUE)</f>
        <v/>
      </c>
      <c r="N33" s="23">
        <f>FLOOR(VLOOKUP($D33,Sheet1!$G$5:$I$192,3,TRUE),1)</f>
        <v>0</v>
      </c>
      <c r="O33" s="42" t="str">
        <f>VLOOKUP($D33,Sheet1!$G$5:$I$192,2,TRUE)</f>
        <v/>
      </c>
      <c r="P33" s="23">
        <v>1</v>
      </c>
      <c r="Q33" s="43" t="str">
        <f>VLOOKUP($D33,Sheet1!$J$5:$L$192,2,TRUE)</f>
        <v>|''</v>
      </c>
      <c r="R33" s="23">
        <f>FLOOR(VLOOKUP($D33,Sheet1!$M$5:$O$192,3,TRUE),1)</f>
        <v>2</v>
      </c>
      <c r="S33" s="42" t="str">
        <f>VLOOKUP($D33,Sheet1!$M$5:$O$192,2,TRUE)</f>
        <v>|''</v>
      </c>
      <c r="T33" s="117">
        <f>IF(ABS(D33-VLOOKUP($D33,Sheet1!$M$5:$T$192,8,TRUE))&lt;10^-10,"SoCA",D33-VLOOKUP($D33,Sheet1!$M$5:$T$192,8,TRUE))</f>
        <v>0.28867237973112891</v>
      </c>
      <c r="U33" s="109">
        <f>IF(VLOOKUP($D33,Sheet1!$M$5:$U$192,9,TRUE)=0,"",IF(ABS(D33-VLOOKUP($D33,Sheet1!$M$5:$U$192,9,TRUE))&lt;10^-10,"Alt.",D33-VLOOKUP($D33,Sheet1!$M$5:$U$192,9,TRUE)))</f>
        <v>0.30272454712558561</v>
      </c>
      <c r="V33" s="132">
        <f>$D33-Sheet1!$M$3*$R33</f>
        <v>0.14535962196395591</v>
      </c>
      <c r="Z33" s="6"/>
      <c r="AA33" s="61"/>
    </row>
    <row r="34" spans="1:27" ht="13.5">
      <c r="A34" t="s">
        <v>1323</v>
      </c>
      <c r="B34">
        <v>53217</v>
      </c>
      <c r="C34">
        <v>53248</v>
      </c>
      <c r="D34" s="13">
        <f t="shared" si="0"/>
        <v>1.0081859209653994</v>
      </c>
      <c r="E34" s="61" t="s">
        <v>1931</v>
      </c>
      <c r="F34" s="65">
        <v>87.617777899924292</v>
      </c>
      <c r="G34" s="6">
        <v>1233</v>
      </c>
      <c r="H34" s="6">
        <v>1172</v>
      </c>
      <c r="I34" s="65">
        <v>-6.0620776801751255</v>
      </c>
      <c r="J34" s="6">
        <f>VLOOKUP($D34,Sheet1!$A$5:$C$192,3,TRUE)</f>
        <v>0</v>
      </c>
      <c r="K34" s="42" t="str">
        <f>VLOOKUP($D34,Sheet1!$A$5:$C$192,2,TRUE)</f>
        <v/>
      </c>
      <c r="L34" s="6">
        <f>FLOOR(VLOOKUP($D34,Sheet1!$D$5:$F$192,3,TRUE),1)</f>
        <v>0</v>
      </c>
      <c r="M34" s="42" t="str">
        <f>VLOOKUP($D34,Sheet1!$D$5:$F$192,2,TRUE)</f>
        <v/>
      </c>
      <c r="N34" s="23">
        <f>FLOOR(VLOOKUP($D34,Sheet1!$G$5:$I$192,3,TRUE),1)</f>
        <v>0</v>
      </c>
      <c r="O34" s="42" t="str">
        <f>VLOOKUP($D34,Sheet1!$G$5:$I$192,2,TRUE)</f>
        <v/>
      </c>
      <c r="P34" s="23">
        <v>1</v>
      </c>
      <c r="Q34" s="43" t="str">
        <f>VLOOKUP($D34,Sheet1!$J$5:$L$192,2,TRUE)</f>
        <v>|''</v>
      </c>
      <c r="R34" s="23">
        <f>FLOOR(VLOOKUP($D34,Sheet1!$M$5:$O$192,3,TRUE),1)</f>
        <v>2</v>
      </c>
      <c r="S34" s="42" t="str">
        <f>VLOOKUP($D34,Sheet1!$M$5:$O$192,2,TRUE)</f>
        <v>|''</v>
      </c>
      <c r="T34" s="117">
        <f>IF(ABS(D34-VLOOKUP($D34,Sheet1!$M$5:$T$192,8,TRUE))&lt;10^-10,"SoCA",D34-VLOOKUP($D34,Sheet1!$M$5:$T$192,8,TRUE))</f>
        <v>0.1756617168638005</v>
      </c>
      <c r="U34" s="109">
        <f>IF(VLOOKUP($D34,Sheet1!$M$5:$U$192,9,TRUE)=0,"",IF(ABS(D34-VLOOKUP($D34,Sheet1!$M$5:$U$192,9,TRUE))&lt;10^-10,"Alt.",D34-VLOOKUP($D34,Sheet1!$M$5:$U$192,9,TRUE)))</f>
        <v>0.18971388425825719</v>
      </c>
      <c r="V34" s="132">
        <f>$D34-Sheet1!$M$3*$R34</f>
        <v>3.2348959096627494E-2</v>
      </c>
      <c r="Z34" s="6"/>
      <c r="AA34" s="61"/>
    </row>
    <row r="35" spans="1:27" ht="13.5">
      <c r="A35" s="6" t="s">
        <v>1281</v>
      </c>
      <c r="B35" s="6">
        <f>2^6*3^8</f>
        <v>419904</v>
      </c>
      <c r="C35" s="6">
        <f>5^2*7^5</f>
        <v>420175</v>
      </c>
      <c r="D35" s="13">
        <f t="shared" ref="D35:D66" si="1">1200*LN($C35/$B35)/LN(2)</f>
        <v>1.1169531521950957</v>
      </c>
      <c r="E35" s="61">
        <v>7</v>
      </c>
      <c r="F35" s="65">
        <v>113.57785710464042</v>
      </c>
      <c r="G35" s="6">
        <v>1049</v>
      </c>
      <c r="H35" s="6">
        <v>1130</v>
      </c>
      <c r="I35" s="65">
        <v>-8.0687748748625356</v>
      </c>
      <c r="J35" s="6">
        <f>VLOOKUP($D35,Sheet1!$A$5:$C$192,3,TRUE)</f>
        <v>0</v>
      </c>
      <c r="K35" s="42" t="str">
        <f>VLOOKUP($D35,Sheet1!$A$5:$C$192,2,TRUE)</f>
        <v/>
      </c>
      <c r="L35" s="6">
        <f>FLOOR(VLOOKUP($D35,Sheet1!$D$5:$F$192,3,TRUE),1)</f>
        <v>0</v>
      </c>
      <c r="M35" s="42" t="str">
        <f>VLOOKUP($D35,Sheet1!$D$5:$F$192,2,TRUE)</f>
        <v/>
      </c>
      <c r="N35" s="23">
        <f>FLOOR(VLOOKUP($D35,Sheet1!$G$5:$I$192,3,TRUE),1)</f>
        <v>0</v>
      </c>
      <c r="O35" s="42" t="str">
        <f>VLOOKUP($D35,Sheet1!$G$5:$I$192,2,TRUE)</f>
        <v/>
      </c>
      <c r="P35" s="23">
        <v>1</v>
      </c>
      <c r="Q35" s="43" t="str">
        <f>VLOOKUP($D35,Sheet1!$J$5:$L$192,2,TRUE)</f>
        <v>|''</v>
      </c>
      <c r="R35" s="23">
        <f>FLOOR(VLOOKUP($D35,Sheet1!$M$5:$O$192,3,TRUE),1)</f>
        <v>2</v>
      </c>
      <c r="S35" s="42" t="str">
        <f>VLOOKUP($D35,Sheet1!$M$5:$O$192,2,TRUE)</f>
        <v>|''</v>
      </c>
      <c r="T35" s="117">
        <f>IF(ABS(D35-VLOOKUP($D35,Sheet1!$M$5:$T$192,8,TRUE))&lt;10^-10,"SoCA",D35-VLOOKUP($D35,Sheet1!$M$5:$T$192,8,TRUE))</f>
        <v>0.28442894809349684</v>
      </c>
      <c r="U35" s="109">
        <f>IF(VLOOKUP($D35,Sheet1!$M$5:$U$192,9,TRUE)=0,"",IF(ABS(D35-VLOOKUP($D35,Sheet1!$M$5:$U$192,9,TRUE))&lt;10^-10,"Alt.",D35-VLOOKUP($D35,Sheet1!$M$5:$U$192,9,TRUE)))</f>
        <v>0.29848111548795353</v>
      </c>
      <c r="V35" s="132">
        <f>$D35-Sheet1!$M$3*$R35</f>
        <v>0.14111619032632383</v>
      </c>
      <c r="Z35" s="6"/>
      <c r="AA35" s="61"/>
    </row>
    <row r="36" spans="1:27" ht="13.5">
      <c r="A36" s="6" t="s">
        <v>1903</v>
      </c>
      <c r="B36">
        <v>10092544</v>
      </c>
      <c r="C36">
        <v>10097379</v>
      </c>
      <c r="D36" s="13">
        <f t="shared" si="1"/>
        <v>0.82917768306983441</v>
      </c>
      <c r="E36" s="61">
        <v>19</v>
      </c>
      <c r="F36" s="65">
        <v>125.8557695958755</v>
      </c>
      <c r="G36" s="59">
        <v>1740</v>
      </c>
      <c r="H36" s="63">
        <v>1000108</v>
      </c>
      <c r="I36" s="65">
        <v>11.948944509194622</v>
      </c>
      <c r="J36" s="6">
        <f>VLOOKUP($D36,Sheet1!$A$5:$C$192,3,TRUE)</f>
        <v>0</v>
      </c>
      <c r="K36" s="42" t="str">
        <f>VLOOKUP($D36,Sheet1!$A$5:$C$192,2,TRUE)</f>
        <v/>
      </c>
      <c r="L36" s="6">
        <f>FLOOR(VLOOKUP($D36,Sheet1!$D$5:$F$192,3,TRUE),1)</f>
        <v>0</v>
      </c>
      <c r="M36" s="42" t="str">
        <f>VLOOKUP($D36,Sheet1!$D$5:$F$192,2,TRUE)</f>
        <v/>
      </c>
      <c r="N36" s="23">
        <f>FLOOR(VLOOKUP($D36,Sheet1!$G$5:$I$192,3,TRUE),1)</f>
        <v>0</v>
      </c>
      <c r="O36" s="42" t="str">
        <f>VLOOKUP($D36,Sheet1!$G$5:$I$192,2,TRUE)</f>
        <v/>
      </c>
      <c r="P36" s="23">
        <v>1</v>
      </c>
      <c r="Q36" s="43" t="str">
        <f>VLOOKUP($D36,Sheet1!$J$5:$L$192,2,TRUE)</f>
        <v>|''</v>
      </c>
      <c r="R36" s="23">
        <f>FLOOR(VLOOKUP($D36,Sheet1!$M$5:$O$192,3,TRUE),1)</f>
        <v>2</v>
      </c>
      <c r="S36" s="42" t="str">
        <f>VLOOKUP($D36,Sheet1!$M$5:$O$192,2,TRUE)</f>
        <v>|''</v>
      </c>
      <c r="T36" s="117">
        <f>IF(ABS(D36-VLOOKUP($D36,Sheet1!$M$5:$T$192,8,TRUE))&lt;10^-10,"SoCA",D36-VLOOKUP($D36,Sheet1!$M$5:$T$192,8,TRUE))</f>
        <v>-3.3465210317644711E-3</v>
      </c>
      <c r="U36" s="109">
        <f>IF(VLOOKUP($D36,Sheet1!$M$5:$U$192,9,TRUE)=0,"",IF(ABS(D36-VLOOKUP($D36,Sheet1!$M$5:$U$192,9,TRUE))&lt;10^-10,"Alt.",D36-VLOOKUP($D36,Sheet1!$M$5:$U$192,9,TRUE)))</f>
        <v>1.0705646362692223E-2</v>
      </c>
      <c r="V36" s="132">
        <f>$D36-Sheet1!$M$3*$R36</f>
        <v>-0.14665927879893748</v>
      </c>
      <c r="Z36" s="6"/>
      <c r="AA36" s="61"/>
    </row>
    <row r="37" spans="1:27" ht="13.5">
      <c r="A37" t="s">
        <v>1635</v>
      </c>
      <c r="B37">
        <v>925101</v>
      </c>
      <c r="C37">
        <v>925696</v>
      </c>
      <c r="D37" s="13">
        <f t="shared" si="1"/>
        <v>1.1131250965734649</v>
      </c>
      <c r="E37" s="61" t="s">
        <v>1931</v>
      </c>
      <c r="F37" s="65">
        <v>174.73996067726054</v>
      </c>
      <c r="G37" s="6">
        <v>1542</v>
      </c>
      <c r="H37" s="6">
        <v>1484</v>
      </c>
      <c r="I37" s="65">
        <v>-9.0685391675315454</v>
      </c>
      <c r="J37" s="6">
        <f>VLOOKUP($D37,Sheet1!$A$5:$C$192,3,TRUE)</f>
        <v>0</v>
      </c>
      <c r="K37" s="42" t="str">
        <f>VLOOKUP($D37,Sheet1!$A$5:$C$192,2,TRUE)</f>
        <v/>
      </c>
      <c r="L37" s="6">
        <f>FLOOR(VLOOKUP($D37,Sheet1!$D$5:$F$192,3,TRUE),1)</f>
        <v>0</v>
      </c>
      <c r="M37" s="42" t="str">
        <f>VLOOKUP($D37,Sheet1!$D$5:$F$192,2,TRUE)</f>
        <v/>
      </c>
      <c r="N37" s="23">
        <f>FLOOR(VLOOKUP($D37,Sheet1!$G$5:$I$192,3,TRUE),1)</f>
        <v>0</v>
      </c>
      <c r="O37" s="42" t="str">
        <f>VLOOKUP($D37,Sheet1!$G$5:$I$192,2,TRUE)</f>
        <v/>
      </c>
      <c r="P37" s="23">
        <v>1</v>
      </c>
      <c r="Q37" s="43" t="str">
        <f>VLOOKUP($D37,Sheet1!$J$5:$L$192,2,TRUE)</f>
        <v>|''</v>
      </c>
      <c r="R37" s="23">
        <f>FLOOR(VLOOKUP($D37,Sheet1!$M$5:$O$192,3,TRUE),1)</f>
        <v>2</v>
      </c>
      <c r="S37" s="42" t="str">
        <f>VLOOKUP($D37,Sheet1!$M$5:$O$192,2,TRUE)</f>
        <v>|''</v>
      </c>
      <c r="T37" s="117">
        <f>IF(ABS(D37-VLOOKUP($D37,Sheet1!$M$5:$T$192,8,TRUE))&lt;10^-10,"SoCA",D37-VLOOKUP($D37,Sheet1!$M$5:$T$192,8,TRUE))</f>
        <v>0.28060089247186604</v>
      </c>
      <c r="U37" s="109">
        <f>IF(VLOOKUP($D37,Sheet1!$M$5:$U$192,9,TRUE)=0,"",IF(ABS(D37-VLOOKUP($D37,Sheet1!$M$5:$U$192,9,TRUE))&lt;10^-10,"Alt.",D37-VLOOKUP($D37,Sheet1!$M$5:$U$192,9,TRUE)))</f>
        <v>0.29465305986632273</v>
      </c>
      <c r="V37" s="132">
        <f>$D37-Sheet1!$M$3*$R37</f>
        <v>0.13728813470469303</v>
      </c>
      <c r="Z37" s="6"/>
      <c r="AA37" s="61"/>
    </row>
    <row r="38" spans="1:27" ht="13.5">
      <c r="A38" s="6" t="s">
        <v>1855</v>
      </c>
      <c r="B38">
        <v>5488640</v>
      </c>
      <c r="C38">
        <v>5491557</v>
      </c>
      <c r="D38" s="13">
        <f t="shared" si="1"/>
        <v>0.91983956935027744</v>
      </c>
      <c r="E38" s="61" t="s">
        <v>1931</v>
      </c>
      <c r="F38" s="65">
        <v>175.24002893715979</v>
      </c>
      <c r="G38" s="59">
        <v>1687</v>
      </c>
      <c r="H38" s="63">
        <v>1000060</v>
      </c>
      <c r="I38" s="65">
        <v>10.943362126557101</v>
      </c>
      <c r="J38" s="6">
        <f>VLOOKUP($D38,Sheet1!$A$5:$C$192,3,TRUE)</f>
        <v>0</v>
      </c>
      <c r="K38" s="42" t="str">
        <f>VLOOKUP($D38,Sheet1!$A$5:$C$192,2,TRUE)</f>
        <v/>
      </c>
      <c r="L38" s="6">
        <f>FLOOR(VLOOKUP($D38,Sheet1!$D$5:$F$192,3,TRUE),1)</f>
        <v>0</v>
      </c>
      <c r="M38" s="42" t="str">
        <f>VLOOKUP($D38,Sheet1!$D$5:$F$192,2,TRUE)</f>
        <v/>
      </c>
      <c r="N38" s="23">
        <f>FLOOR(VLOOKUP($D38,Sheet1!$G$5:$I$192,3,TRUE),1)</f>
        <v>0</v>
      </c>
      <c r="O38" s="42" t="str">
        <f>VLOOKUP($D38,Sheet1!$G$5:$I$192,2,TRUE)</f>
        <v/>
      </c>
      <c r="P38" s="23">
        <v>1</v>
      </c>
      <c r="Q38" s="43" t="str">
        <f>VLOOKUP($D38,Sheet1!$J$5:$L$192,2,TRUE)</f>
        <v>|''</v>
      </c>
      <c r="R38" s="23">
        <f>FLOOR(VLOOKUP($D38,Sheet1!$M$5:$O$192,3,TRUE),1)</f>
        <v>2</v>
      </c>
      <c r="S38" s="42" t="str">
        <f>VLOOKUP($D38,Sheet1!$M$5:$O$192,2,TRUE)</f>
        <v>|''</v>
      </c>
      <c r="T38" s="117">
        <f>IF(ABS(D38-VLOOKUP($D38,Sheet1!$M$5:$T$192,8,TRUE))&lt;10^-10,"SoCA",D38-VLOOKUP($D38,Sheet1!$M$5:$T$192,8,TRUE))</f>
        <v>8.7315365248678556E-2</v>
      </c>
      <c r="U38" s="109">
        <f>IF(VLOOKUP($D38,Sheet1!$M$5:$U$192,9,TRUE)=0,"",IF(ABS(D38-VLOOKUP($D38,Sheet1!$M$5:$U$192,9,TRUE))&lt;10^-10,"Alt.",D38-VLOOKUP($D38,Sheet1!$M$5:$U$192,9,TRUE)))</f>
        <v>0.10136753264313525</v>
      </c>
      <c r="V38" s="132">
        <f>$D38-Sheet1!$M$3*$R38</f>
        <v>-5.5997392518494449E-2</v>
      </c>
      <c r="Z38" s="6"/>
      <c r="AA38" s="61"/>
    </row>
    <row r="39" spans="1:27" ht="13.5">
      <c r="A39" t="s">
        <v>1633</v>
      </c>
      <c r="B39">
        <v>3798819</v>
      </c>
      <c r="C39">
        <v>3801088</v>
      </c>
      <c r="D39" s="13">
        <f t="shared" si="1"/>
        <v>1.0337416429033812</v>
      </c>
      <c r="E39" s="61" t="s">
        <v>1931</v>
      </c>
      <c r="F39" s="65">
        <v>237.6516636578063</v>
      </c>
      <c r="G39" s="6">
        <v>1541</v>
      </c>
      <c r="H39" s="6">
        <v>1482</v>
      </c>
      <c r="I39" s="65">
        <v>-9.0636512390794106</v>
      </c>
      <c r="J39" s="6">
        <f>VLOOKUP($D39,Sheet1!$A$5:$C$192,3,TRUE)</f>
        <v>0</v>
      </c>
      <c r="K39" s="42" t="str">
        <f>VLOOKUP($D39,Sheet1!$A$5:$C$192,2,TRUE)</f>
        <v/>
      </c>
      <c r="L39" s="6">
        <f>FLOOR(VLOOKUP($D39,Sheet1!$D$5:$F$192,3,TRUE),1)</f>
        <v>0</v>
      </c>
      <c r="M39" s="42" t="str">
        <f>VLOOKUP($D39,Sheet1!$D$5:$F$192,2,TRUE)</f>
        <v/>
      </c>
      <c r="N39" s="23">
        <f>FLOOR(VLOOKUP($D39,Sheet1!$G$5:$I$192,3,TRUE),1)</f>
        <v>0</v>
      </c>
      <c r="O39" s="42" t="str">
        <f>VLOOKUP($D39,Sheet1!$G$5:$I$192,2,TRUE)</f>
        <v/>
      </c>
      <c r="P39" s="23">
        <v>1</v>
      </c>
      <c r="Q39" s="43" t="str">
        <f>VLOOKUP($D39,Sheet1!$J$5:$L$192,2,TRUE)</f>
        <v>|''</v>
      </c>
      <c r="R39" s="23">
        <f>FLOOR(VLOOKUP($D39,Sheet1!$M$5:$O$192,3,TRUE),1)</f>
        <v>2</v>
      </c>
      <c r="S39" s="42" t="str">
        <f>VLOOKUP($D39,Sheet1!$M$5:$O$192,2,TRUE)</f>
        <v>|''</v>
      </c>
      <c r="T39" s="117">
        <f>IF(ABS(D39-VLOOKUP($D39,Sheet1!$M$5:$T$192,8,TRUE))&lt;10^-10,"SoCA",D39-VLOOKUP($D39,Sheet1!$M$5:$T$192,8,TRUE))</f>
        <v>0.20121743880178233</v>
      </c>
      <c r="U39" s="109">
        <f>IF(VLOOKUP($D39,Sheet1!$M$5:$U$192,9,TRUE)=0,"",IF(ABS(D39-VLOOKUP($D39,Sheet1!$M$5:$U$192,9,TRUE))&lt;10^-10,"Alt.",D39-VLOOKUP($D39,Sheet1!$M$5:$U$192,9,TRUE)))</f>
        <v>0.21526960619623903</v>
      </c>
      <c r="V39" s="132">
        <f>$D39-Sheet1!$M$3*$R39</f>
        <v>5.7904681034609329E-2</v>
      </c>
      <c r="Z39" s="6"/>
      <c r="AA39" s="61"/>
    </row>
    <row r="40" spans="1:27" ht="13.5">
      <c r="A40" t="s">
        <v>1622</v>
      </c>
      <c r="B40">
        <v>508411904</v>
      </c>
      <c r="C40">
        <v>508746501</v>
      </c>
      <c r="D40" s="13">
        <f t="shared" si="1"/>
        <v>1.138988258195164</v>
      </c>
      <c r="E40" s="61" t="s">
        <v>1931</v>
      </c>
      <c r="F40" s="65">
        <v>41482.461744193839</v>
      </c>
      <c r="G40" s="6">
        <v>1528</v>
      </c>
      <c r="H40" s="6">
        <v>1471</v>
      </c>
      <c r="I40" s="65">
        <v>8.929868343382779</v>
      </c>
      <c r="J40" s="6">
        <f>VLOOKUP($D40,Sheet1!$A$5:$C$192,3,TRUE)</f>
        <v>0</v>
      </c>
      <c r="K40" s="42" t="str">
        <f>VLOOKUP($D40,Sheet1!$A$5:$C$192,2,TRUE)</f>
        <v/>
      </c>
      <c r="L40" s="6">
        <f>FLOOR(VLOOKUP($D40,Sheet1!$D$5:$F$192,3,TRUE),1)</f>
        <v>0</v>
      </c>
      <c r="M40" s="42" t="str">
        <f>VLOOKUP($D40,Sheet1!$D$5:$F$192,2,TRUE)</f>
        <v/>
      </c>
      <c r="N40" s="23">
        <f>FLOOR(VLOOKUP($D40,Sheet1!$G$5:$I$192,3,TRUE),1)</f>
        <v>0</v>
      </c>
      <c r="O40" s="42" t="str">
        <f>VLOOKUP($D40,Sheet1!$G$5:$I$192,2,TRUE)</f>
        <v/>
      </c>
      <c r="P40" s="23">
        <v>1</v>
      </c>
      <c r="Q40" s="43" t="str">
        <f>VLOOKUP($D40,Sheet1!$J$5:$L$192,2,TRUE)</f>
        <v>|''</v>
      </c>
      <c r="R40" s="23">
        <f>FLOOR(VLOOKUP($D40,Sheet1!$M$5:$O$192,3,TRUE),1)</f>
        <v>2</v>
      </c>
      <c r="S40" s="42" t="str">
        <f>VLOOKUP($D40,Sheet1!$M$5:$O$192,2,TRUE)</f>
        <v>|''</v>
      </c>
      <c r="T40" s="117">
        <f>IF(ABS(D40-VLOOKUP($D40,Sheet1!$M$5:$T$192,8,TRUE))&lt;10^-10,"SoCA",D40-VLOOKUP($D40,Sheet1!$M$5:$T$192,8,TRUE))</f>
        <v>0.30646405409356514</v>
      </c>
      <c r="U40" s="109">
        <f>IF(VLOOKUP($D40,Sheet1!$M$5:$U$192,9,TRUE)=0,"",IF(ABS(D40-VLOOKUP($D40,Sheet1!$M$5:$U$192,9,TRUE))&lt;10^-10,"Alt.",D40-VLOOKUP($D40,Sheet1!$M$5:$U$192,9,TRUE)))</f>
        <v>0.32051622148802184</v>
      </c>
      <c r="V40" s="132">
        <f>$D40-Sheet1!$M$3*$R40</f>
        <v>0.16315129632639214</v>
      </c>
      <c r="Z40" s="6"/>
      <c r="AA40" s="61"/>
    </row>
    <row r="41" spans="1:27" ht="13.5">
      <c r="A41" s="39" t="s">
        <v>12</v>
      </c>
      <c r="B41" s="39">
        <f>3^5*5</f>
        <v>1215</v>
      </c>
      <c r="C41" s="39">
        <f>2^6*19</f>
        <v>1216</v>
      </c>
      <c r="D41" s="13">
        <f t="shared" si="1"/>
        <v>1.4242979405307952</v>
      </c>
      <c r="E41" s="61">
        <v>19</v>
      </c>
      <c r="F41" s="65">
        <v>24.594004284986202</v>
      </c>
      <c r="G41" s="6">
        <v>51</v>
      </c>
      <c r="H41" s="6">
        <v>48</v>
      </c>
      <c r="I41" s="65">
        <v>-5.0876992131983902</v>
      </c>
      <c r="J41" s="6">
        <f>VLOOKUP($D41,Sheet1!$A$5:$C$192,3,TRUE)</f>
        <v>0</v>
      </c>
      <c r="K41" s="42" t="str">
        <f>VLOOKUP($D41,Sheet1!$A$5:$C$192,2,TRUE)</f>
        <v/>
      </c>
      <c r="L41" s="6">
        <f>FLOOR(VLOOKUP($D41,Sheet1!$D$5:$F$192,3,TRUE),1)</f>
        <v>1</v>
      </c>
      <c r="M41" s="42" t="str">
        <f>VLOOKUP($D41,Sheet1!$D$5:$F$192,2,TRUE)</f>
        <v>)|</v>
      </c>
      <c r="N41" s="39">
        <f>FLOOR(VLOOKUP($D41,Sheet1!$G$5:$I$192,3,TRUE),1)</f>
        <v>1</v>
      </c>
      <c r="O41" s="44" t="str">
        <f>VLOOKUP($D41,Sheet1!$G$5:$I$192,2,TRUE)</f>
        <v>.)|</v>
      </c>
      <c r="P41" s="39">
        <v>1</v>
      </c>
      <c r="Q41" s="44" t="str">
        <f>VLOOKUP($D41,Sheet1!$J$5:$L$192,2,TRUE)</f>
        <v>.)|</v>
      </c>
      <c r="R41" s="39">
        <f>FLOOR(VLOOKUP($D41,Sheet1!$M$5:$O$192,3,TRUE),1)</f>
        <v>3</v>
      </c>
      <c r="S41" s="44" t="str">
        <f>VLOOKUP($D41,Sheet1!$M$5:$O$192,2,TRUE)</f>
        <v>.)|</v>
      </c>
      <c r="T41" s="113" t="str">
        <f>IF(ABS(D41-VLOOKUP($D41,Sheet1!$M$5:$T$192,8,TRUE))&lt;10^-10,"SoCA",D41-VLOOKUP($D41,Sheet1!$M$5:$T$192,8,TRUE))</f>
        <v>SoCA</v>
      </c>
      <c r="U41" s="118" t="str">
        <f>IF(VLOOKUP($D41,Sheet1!$M$5:$U$192,9,TRUE)=0,"",IF(ABS(D41-VLOOKUP($D41,Sheet1!$M$5:$U$192,9,TRUE))&lt;10^-10,"Alt.",D41-VLOOKUP($D41,Sheet1!$M$5:$U$192,9,TRUE)))</f>
        <v/>
      </c>
      <c r="V41" s="136">
        <f>$D41-Sheet1!$M$3*$R41</f>
        <v>-3.9457502272362666E-2</v>
      </c>
      <c r="Z41" s="6"/>
      <c r="AA41" s="61"/>
    </row>
    <row r="42" spans="1:27" ht="13.5">
      <c r="A42" s="6" t="s">
        <v>496</v>
      </c>
      <c r="B42" s="6">
        <f>3^5*7^2*11</f>
        <v>130977</v>
      </c>
      <c r="C42" s="6">
        <f>2^17</f>
        <v>131072</v>
      </c>
      <c r="D42" s="13">
        <f t="shared" si="1"/>
        <v>1.2552403700564461</v>
      </c>
      <c r="E42" s="61">
        <v>11</v>
      </c>
      <c r="F42" s="65">
        <v>40.59865934968898</v>
      </c>
      <c r="G42" s="6">
        <v>351</v>
      </c>
      <c r="H42" s="6">
        <v>337</v>
      </c>
      <c r="I42" s="65">
        <v>-5.0772897226740223</v>
      </c>
      <c r="J42" s="6">
        <f>VLOOKUP($D42,Sheet1!$A$5:$C$192,3,TRUE)</f>
        <v>0</v>
      </c>
      <c r="K42" s="42" t="str">
        <f>VLOOKUP($D42,Sheet1!$A$5:$C$192,2,TRUE)</f>
        <v/>
      </c>
      <c r="L42" s="6">
        <f>FLOOR(VLOOKUP($D42,Sheet1!$D$5:$F$192,3,TRUE),1)</f>
        <v>1</v>
      </c>
      <c r="M42" s="42" t="str">
        <f>VLOOKUP($D42,Sheet1!$D$5:$F$192,2,TRUE)</f>
        <v>)|</v>
      </c>
      <c r="N42" s="23">
        <f>FLOOR(VLOOKUP($D42,Sheet1!$G$5:$I$192,3,TRUE),1)</f>
        <v>1</v>
      </c>
      <c r="O42" s="42" t="str">
        <f>VLOOKUP($D42,Sheet1!$G$5:$I$192,2,TRUE)</f>
        <v>.)|</v>
      </c>
      <c r="P42" s="23">
        <v>1</v>
      </c>
      <c r="Q42" s="43" t="str">
        <f>VLOOKUP($D42,Sheet1!$J$5:$L$192,2,TRUE)</f>
        <v>.)|</v>
      </c>
      <c r="R42" s="23">
        <f>FLOOR(VLOOKUP($D42,Sheet1!$M$5:$O$192,3,TRUE),1)</f>
        <v>3</v>
      </c>
      <c r="S42" s="42" t="str">
        <f>VLOOKUP($D42,Sheet1!$M$5:$O$192,2,TRUE)</f>
        <v>.)|</v>
      </c>
      <c r="T42" s="117">
        <f>IF(ABS(D42-VLOOKUP($D42,Sheet1!$M$5:$T$192,8,TRUE))&lt;10^-10,"SoCA",D42-VLOOKUP($D42,Sheet1!$M$5:$T$192,8,TRUE))</f>
        <v>-0.16905757047424008</v>
      </c>
      <c r="U42" s="109" t="str">
        <f>IF(VLOOKUP($D42,Sheet1!$M$5:$U$192,9,TRUE)=0,"",IF(ABS(D42-VLOOKUP($D42,Sheet1!$M$5:$U$192,9,TRUE))&lt;10^-10,"Alt.",D42-VLOOKUP($D42,Sheet1!$M$5:$U$192,9,TRUE)))</f>
        <v/>
      </c>
      <c r="V42" s="132">
        <f>$D42-Sheet1!$M$3*$R42</f>
        <v>-0.20851507274671177</v>
      </c>
      <c r="Z42" s="6"/>
      <c r="AA42" s="61"/>
    </row>
    <row r="43" spans="1:27" ht="13.5">
      <c r="A43" s="23" t="s">
        <v>924</v>
      </c>
      <c r="B43" s="23">
        <f>2^6*17</f>
        <v>1088</v>
      </c>
      <c r="C43" s="23">
        <f>3^2*11^2</f>
        <v>1089</v>
      </c>
      <c r="D43" s="13">
        <f t="shared" si="1"/>
        <v>1.5904769598810509</v>
      </c>
      <c r="E43" s="61">
        <v>17</v>
      </c>
      <c r="F43" s="65">
        <v>46.879366425749929</v>
      </c>
      <c r="G43" s="6">
        <v>834</v>
      </c>
      <c r="H43" s="6">
        <v>772</v>
      </c>
      <c r="I43" s="65">
        <v>1.9020685391570851</v>
      </c>
      <c r="J43" s="6">
        <f>VLOOKUP($D43,Sheet1!$A$5:$C$192,3,TRUE)</f>
        <v>0</v>
      </c>
      <c r="K43" s="42" t="str">
        <f>VLOOKUP($D43,Sheet1!$A$5:$C$192,2,TRUE)</f>
        <v/>
      </c>
      <c r="L43" s="6">
        <f>FLOOR(VLOOKUP($D43,Sheet1!$D$5:$F$192,3,TRUE),1)</f>
        <v>1</v>
      </c>
      <c r="M43" s="42" t="str">
        <f>VLOOKUP($D43,Sheet1!$D$5:$F$192,2,TRUE)</f>
        <v>)|</v>
      </c>
      <c r="N43" s="23">
        <f>FLOOR(VLOOKUP($D43,Sheet1!$G$5:$I$192,3,TRUE),1)</f>
        <v>1</v>
      </c>
      <c r="O43" s="42" t="str">
        <f>VLOOKUP($D43,Sheet1!$G$5:$I$192,2,TRUE)</f>
        <v>.)|</v>
      </c>
      <c r="P43" s="23">
        <v>1</v>
      </c>
      <c r="Q43" s="43" t="str">
        <f>VLOOKUP($D43,Sheet1!$J$5:$L$192,2,TRUE)</f>
        <v>.)|</v>
      </c>
      <c r="R43" s="23">
        <f>FLOOR(VLOOKUP($D43,Sheet1!$M$5:$O$192,3,TRUE),1)</f>
        <v>3</v>
      </c>
      <c r="S43" s="43" t="str">
        <f>VLOOKUP($D43,Sheet1!$M$5:$O$192,2,TRUE)</f>
        <v>.)|</v>
      </c>
      <c r="T43" s="117">
        <f>IF(ABS(D43-VLOOKUP($D43,Sheet1!$M$5:$T$192,8,TRUE))&lt;10^-10,"SoCA",D43-VLOOKUP($D43,Sheet1!$M$5:$T$192,8,TRUE))</f>
        <v>0.16617901935036472</v>
      </c>
      <c r="U43" s="117" t="str">
        <f>IF(VLOOKUP($D43,Sheet1!$M$5:$U$192,9,TRUE)=0,"",IF(ABS(D43-VLOOKUP($D43,Sheet1!$M$5:$U$192,9,TRUE))&lt;10^-10,"Alt.",D43-VLOOKUP($D43,Sheet1!$M$5:$U$192,9,TRUE)))</f>
        <v/>
      </c>
      <c r="V43" s="132">
        <f>$D43-Sheet1!$M$3*$R43</f>
        <v>0.12672151707789303</v>
      </c>
      <c r="Z43" s="6"/>
      <c r="AA43" s="61"/>
    </row>
    <row r="44" spans="1:27" ht="13.5">
      <c r="A44" t="s">
        <v>829</v>
      </c>
      <c r="B44">
        <v>1023</v>
      </c>
      <c r="C44">
        <v>1024</v>
      </c>
      <c r="D44" s="13">
        <f t="shared" si="1"/>
        <v>1.6914843056056228</v>
      </c>
      <c r="E44" s="61">
        <v>31</v>
      </c>
      <c r="F44" s="65">
        <v>58.843374756359147</v>
      </c>
      <c r="G44" s="6">
        <v>698</v>
      </c>
      <c r="H44" s="6">
        <v>676</v>
      </c>
      <c r="I44" s="65">
        <v>-1.1041508511089722</v>
      </c>
      <c r="J44" s="6">
        <f>VLOOKUP($D44,Sheet1!$A$5:$C$192,3,TRUE)</f>
        <v>0</v>
      </c>
      <c r="K44" s="42" t="str">
        <f>VLOOKUP($D44,Sheet1!$A$5:$C$192,2,TRUE)</f>
        <v/>
      </c>
      <c r="L44" s="6">
        <f>FLOOR(VLOOKUP($D44,Sheet1!$D$5:$F$192,3,TRUE),1)</f>
        <v>1</v>
      </c>
      <c r="M44" s="42" t="str">
        <f>VLOOKUP($D44,Sheet1!$D$5:$F$192,2,TRUE)</f>
        <v>)|</v>
      </c>
      <c r="N44" s="23">
        <f>FLOOR(VLOOKUP($D44,Sheet1!$G$5:$I$192,3,TRUE),1)</f>
        <v>1</v>
      </c>
      <c r="O44" s="42" t="str">
        <f>VLOOKUP($D44,Sheet1!$G$5:$I$192,2,TRUE)</f>
        <v>.)|</v>
      </c>
      <c r="P44" s="23">
        <v>1</v>
      </c>
      <c r="Q44" s="43" t="str">
        <f>VLOOKUP($D44,Sheet1!$J$5:$L$192,2,TRUE)</f>
        <v>.)|</v>
      </c>
      <c r="R44" s="23">
        <f>FLOOR(VLOOKUP($D44,Sheet1!$M$5:$O$192,3,TRUE),1)</f>
        <v>3</v>
      </c>
      <c r="S44" s="42" t="str">
        <f>VLOOKUP($D44,Sheet1!$M$5:$O$192,2,TRUE)</f>
        <v>.)|</v>
      </c>
      <c r="T44" s="117">
        <f>IF(ABS(D44-VLOOKUP($D44,Sheet1!$M$5:$T$192,8,TRUE))&lt;10^-10,"SoCA",D44-VLOOKUP($D44,Sheet1!$M$5:$T$192,8,TRUE))</f>
        <v>0.26718636507493665</v>
      </c>
      <c r="U44" s="109" t="str">
        <f>IF(VLOOKUP($D44,Sheet1!$M$5:$U$192,9,TRUE)=0,"",IF(ABS(D44-VLOOKUP($D44,Sheet1!$M$5:$U$192,9,TRUE))&lt;10^-10,"Alt.",D44-VLOOKUP($D44,Sheet1!$M$5:$U$192,9,TRUE)))</f>
        <v/>
      </c>
      <c r="V44" s="132">
        <f>$D44-Sheet1!$M$3*$R44</f>
        <v>0.22772886280246496</v>
      </c>
      <c r="Z44" s="6"/>
      <c r="AA44" s="61"/>
    </row>
    <row r="45" spans="1:27" ht="13.5">
      <c r="A45" t="s">
        <v>567</v>
      </c>
      <c r="B45">
        <v>1376</v>
      </c>
      <c r="C45">
        <v>1377</v>
      </c>
      <c r="D45" s="13">
        <f t="shared" si="1"/>
        <v>1.2577073194395325</v>
      </c>
      <c r="E45" s="61">
        <v>43</v>
      </c>
      <c r="F45" s="65">
        <v>60.355258028905666</v>
      </c>
      <c r="G45" s="6">
        <v>433</v>
      </c>
      <c r="H45" s="6">
        <v>411</v>
      </c>
      <c r="I45" s="65">
        <v>3.922558378264875</v>
      </c>
      <c r="J45" s="6">
        <f>VLOOKUP($D45,Sheet1!$A$5:$C$192,3,TRUE)</f>
        <v>0</v>
      </c>
      <c r="K45" s="42" t="str">
        <f>VLOOKUP($D45,Sheet1!$A$5:$C$192,2,TRUE)</f>
        <v/>
      </c>
      <c r="L45" s="6">
        <f>FLOOR(VLOOKUP($D45,Sheet1!$D$5:$F$192,3,TRUE),1)</f>
        <v>1</v>
      </c>
      <c r="M45" s="42" t="str">
        <f>VLOOKUP($D45,Sheet1!$D$5:$F$192,2,TRUE)</f>
        <v>)|</v>
      </c>
      <c r="N45" s="23">
        <f>FLOOR(VLOOKUP($D45,Sheet1!$G$5:$I$192,3,TRUE),1)</f>
        <v>1</v>
      </c>
      <c r="O45" s="42" t="str">
        <f>VLOOKUP($D45,Sheet1!$G$5:$I$192,2,TRUE)</f>
        <v>.)|</v>
      </c>
      <c r="P45" s="23">
        <v>1</v>
      </c>
      <c r="Q45" s="43" t="str">
        <f>VLOOKUP($D45,Sheet1!$J$5:$L$192,2,TRUE)</f>
        <v>.)|</v>
      </c>
      <c r="R45" s="23">
        <f>FLOOR(VLOOKUP($D45,Sheet1!$M$5:$O$192,3,TRUE),1)</f>
        <v>3</v>
      </c>
      <c r="S45" s="42" t="str">
        <f>VLOOKUP($D45,Sheet1!$M$5:$O$192,2,TRUE)</f>
        <v>.)|</v>
      </c>
      <c r="T45" s="117">
        <f>IF(ABS(D45-VLOOKUP($D45,Sheet1!$M$5:$T$192,8,TRUE))&lt;10^-10,"SoCA",D45-VLOOKUP($D45,Sheet1!$M$5:$T$192,8,TRUE))</f>
        <v>-0.16659062109115363</v>
      </c>
      <c r="U45" s="109" t="str">
        <f>IF(VLOOKUP($D45,Sheet1!$M$5:$U$192,9,TRUE)=0,"",IF(ABS(D45-VLOOKUP($D45,Sheet1!$M$5:$U$192,9,TRUE))&lt;10^-10,"Alt.",D45-VLOOKUP($D45,Sheet1!$M$5:$U$192,9,TRUE)))</f>
        <v/>
      </c>
      <c r="V45" s="132">
        <f>$D45-Sheet1!$M$3*$R45</f>
        <v>-0.20604812336362532</v>
      </c>
      <c r="Z45" s="6"/>
      <c r="AA45" s="61"/>
    </row>
    <row r="46" spans="1:27" ht="13.5">
      <c r="A46" s="6" t="s">
        <v>1290</v>
      </c>
      <c r="B46" s="14">
        <f>2^10*7^4</f>
        <v>2458624</v>
      </c>
      <c r="C46" s="22">
        <f>3^9*5^3</f>
        <v>2460375</v>
      </c>
      <c r="D46" s="13">
        <f t="shared" si="1"/>
        <v>1.232523506491475</v>
      </c>
      <c r="E46" s="61">
        <v>7</v>
      </c>
      <c r="F46" s="65">
        <v>62.090998862389398</v>
      </c>
      <c r="G46" s="6">
        <v>921</v>
      </c>
      <c r="H46" s="6">
        <v>1139</v>
      </c>
      <c r="I46" s="65">
        <v>8.924109037377713</v>
      </c>
      <c r="J46" s="6">
        <f>VLOOKUP($D46,Sheet1!$A$5:$C$192,3,TRUE)</f>
        <v>0</v>
      </c>
      <c r="K46" s="42" t="str">
        <f>VLOOKUP($D46,Sheet1!$A$5:$C$192,2,TRUE)</f>
        <v/>
      </c>
      <c r="L46" s="6">
        <f>FLOOR(VLOOKUP($D46,Sheet1!$D$5:$F$192,3,TRUE),1)</f>
        <v>1</v>
      </c>
      <c r="M46" s="42" t="str">
        <f>VLOOKUP($D46,Sheet1!$D$5:$F$192,2,TRUE)</f>
        <v>)|</v>
      </c>
      <c r="N46" s="23">
        <f>FLOOR(VLOOKUP($D46,Sheet1!$G$5:$I$192,3,TRUE),1)</f>
        <v>1</v>
      </c>
      <c r="O46" s="42" t="str">
        <f>VLOOKUP($D46,Sheet1!$G$5:$I$192,2,TRUE)</f>
        <v>.)|</v>
      </c>
      <c r="P46" s="23">
        <v>1</v>
      </c>
      <c r="Q46" s="43" t="str">
        <f>VLOOKUP($D46,Sheet1!$J$5:$L$192,2,TRUE)</f>
        <v>.)|</v>
      </c>
      <c r="R46" s="23">
        <f>FLOOR(VLOOKUP($D46,Sheet1!$M$5:$O$192,3,TRUE),1)</f>
        <v>3</v>
      </c>
      <c r="S46" s="42" t="str">
        <f>VLOOKUP($D46,Sheet1!$M$5:$O$192,2,TRUE)</f>
        <v>.)|</v>
      </c>
      <c r="T46" s="117">
        <f>IF(ABS(D46-VLOOKUP($D46,Sheet1!$M$5:$T$192,8,TRUE))&lt;10^-10,"SoCA",D46-VLOOKUP($D46,Sheet1!$M$5:$T$192,8,TRUE))</f>
        <v>-0.19177443403921113</v>
      </c>
      <c r="U46" s="109" t="str">
        <f>IF(VLOOKUP($D46,Sheet1!$M$5:$U$192,9,TRUE)=0,"",IF(ABS(D46-VLOOKUP($D46,Sheet1!$M$5:$U$192,9,TRUE))&lt;10^-10,"Alt.",D46-VLOOKUP($D46,Sheet1!$M$5:$U$192,9,TRUE)))</f>
        <v/>
      </c>
      <c r="V46" s="132">
        <f>$D46-Sheet1!$M$3*$R46</f>
        <v>-0.23123193631168282</v>
      </c>
      <c r="Z46" s="6"/>
      <c r="AA46" s="61"/>
    </row>
    <row r="47" spans="1:27" ht="13.5">
      <c r="A47" t="s">
        <v>1050</v>
      </c>
      <c r="B47">
        <v>9175040</v>
      </c>
      <c r="C47">
        <v>9183213</v>
      </c>
      <c r="D47" s="13">
        <f t="shared" si="1"/>
        <v>1.5414731257727956</v>
      </c>
      <c r="E47" s="61">
        <v>19</v>
      </c>
      <c r="F47" s="65">
        <v>76.036370662705551</v>
      </c>
      <c r="G47" s="6">
        <v>819</v>
      </c>
      <c r="H47" s="6">
        <v>898</v>
      </c>
      <c r="I47" s="65">
        <v>6.9050858837538183</v>
      </c>
      <c r="J47" s="6">
        <f>VLOOKUP($D47,Sheet1!$A$5:$C$192,3,TRUE)</f>
        <v>0</v>
      </c>
      <c r="K47" s="42" t="str">
        <f>VLOOKUP($D47,Sheet1!$A$5:$C$192,2,TRUE)</f>
        <v/>
      </c>
      <c r="L47" s="6">
        <f>FLOOR(VLOOKUP($D47,Sheet1!$D$5:$F$192,3,TRUE),1)</f>
        <v>1</v>
      </c>
      <c r="M47" s="42" t="str">
        <f>VLOOKUP($D47,Sheet1!$D$5:$F$192,2,TRUE)</f>
        <v>)|</v>
      </c>
      <c r="N47" s="23">
        <f>FLOOR(VLOOKUP($D47,Sheet1!$G$5:$I$192,3,TRUE),1)</f>
        <v>1</v>
      </c>
      <c r="O47" s="42" t="str">
        <f>VLOOKUP($D47,Sheet1!$G$5:$I$192,2,TRUE)</f>
        <v>.)|</v>
      </c>
      <c r="P47" s="23">
        <v>1</v>
      </c>
      <c r="Q47" s="43" t="str">
        <f>VLOOKUP($D47,Sheet1!$J$5:$L$192,2,TRUE)</f>
        <v>.)|</v>
      </c>
      <c r="R47" s="23">
        <f>FLOOR(VLOOKUP($D47,Sheet1!$M$5:$O$192,3,TRUE),1)</f>
        <v>3</v>
      </c>
      <c r="S47" s="42" t="str">
        <f>VLOOKUP($D47,Sheet1!$M$5:$O$192,2,TRUE)</f>
        <v>.)|</v>
      </c>
      <c r="T47" s="117">
        <f>IF(ABS(D47-VLOOKUP($D47,Sheet1!$M$5:$T$192,8,TRUE))&lt;10^-10,"SoCA",D47-VLOOKUP($D47,Sheet1!$M$5:$T$192,8,TRUE))</f>
        <v>0.11717518524210946</v>
      </c>
      <c r="U47" s="109" t="str">
        <f>IF(VLOOKUP($D47,Sheet1!$M$5:$U$192,9,TRUE)=0,"",IF(ABS(D47-VLOOKUP($D47,Sheet1!$M$5:$U$192,9,TRUE))&lt;10^-10,"Alt.",D47-VLOOKUP($D47,Sheet1!$M$5:$U$192,9,TRUE)))</f>
        <v/>
      </c>
      <c r="V47" s="132">
        <f>$D47-Sheet1!$M$3*$R47</f>
        <v>7.7717682969637769E-2</v>
      </c>
      <c r="Z47" s="6"/>
      <c r="AA47" s="61"/>
    </row>
    <row r="48" spans="1:27" ht="13.5">
      <c r="A48" s="6" t="s">
        <v>1896</v>
      </c>
      <c r="B48">
        <v>41943040</v>
      </c>
      <c r="C48">
        <v>41983839</v>
      </c>
      <c r="D48" s="13">
        <f t="shared" si="1"/>
        <v>1.6831943323378586</v>
      </c>
      <c r="E48" s="61" t="s">
        <v>1931</v>
      </c>
      <c r="F48" s="65">
        <v>181.29706009755071</v>
      </c>
      <c r="G48" s="59">
        <v>1732</v>
      </c>
      <c r="H48" s="63">
        <v>1000101</v>
      </c>
      <c r="I48" s="65">
        <v>11.896359592747141</v>
      </c>
      <c r="J48" s="6">
        <f>VLOOKUP($D48,Sheet1!$A$5:$C$192,3,TRUE)</f>
        <v>0</v>
      </c>
      <c r="K48" s="42" t="str">
        <f>VLOOKUP($D48,Sheet1!$A$5:$C$192,2,TRUE)</f>
        <v/>
      </c>
      <c r="L48" s="6">
        <f>FLOOR(VLOOKUP($D48,Sheet1!$D$5:$F$192,3,TRUE),1)</f>
        <v>1</v>
      </c>
      <c r="M48" s="42" t="str">
        <f>VLOOKUP($D48,Sheet1!$D$5:$F$192,2,TRUE)</f>
        <v>)|</v>
      </c>
      <c r="N48" s="23">
        <f>FLOOR(VLOOKUP($D48,Sheet1!$G$5:$I$192,3,TRUE),1)</f>
        <v>1</v>
      </c>
      <c r="O48" s="42" t="str">
        <f>VLOOKUP($D48,Sheet1!$G$5:$I$192,2,TRUE)</f>
        <v>.)|</v>
      </c>
      <c r="P48" s="23">
        <v>1</v>
      </c>
      <c r="Q48" s="43" t="str">
        <f>VLOOKUP($D48,Sheet1!$J$5:$L$192,2,TRUE)</f>
        <v>.)|</v>
      </c>
      <c r="R48" s="23">
        <f>FLOOR(VLOOKUP($D48,Sheet1!$M$5:$O$192,3,TRUE),1)</f>
        <v>3</v>
      </c>
      <c r="S48" s="42" t="str">
        <f>VLOOKUP($D48,Sheet1!$M$5:$O$192,2,TRUE)</f>
        <v>.)|</v>
      </c>
      <c r="T48" s="117">
        <f>IF(ABS(D48-VLOOKUP($D48,Sheet1!$M$5:$T$192,8,TRUE))&lt;10^-10,"SoCA",D48-VLOOKUP($D48,Sheet1!$M$5:$T$192,8,TRUE))</f>
        <v>0.2588963918071725</v>
      </c>
      <c r="U48" s="109" t="str">
        <f>IF(VLOOKUP($D48,Sheet1!$M$5:$U$192,9,TRUE)=0,"",IF(ABS(D48-VLOOKUP($D48,Sheet1!$M$5:$U$192,9,TRUE))&lt;10^-10,"Alt.",D48-VLOOKUP($D48,Sheet1!$M$5:$U$192,9,TRUE)))</f>
        <v/>
      </c>
      <c r="V48" s="132">
        <f>$D48-Sheet1!$M$3*$R48</f>
        <v>0.21943888953470081</v>
      </c>
      <c r="Z48" s="6"/>
      <c r="AA48" s="61"/>
    </row>
    <row r="49" spans="1:27" ht="13.5">
      <c r="A49" t="s">
        <v>926</v>
      </c>
      <c r="B49">
        <v>1232</v>
      </c>
      <c r="C49">
        <v>1233</v>
      </c>
      <c r="D49" s="13">
        <f t="shared" si="1"/>
        <v>1.4046524495250787</v>
      </c>
      <c r="E49" s="61" t="s">
        <v>1931</v>
      </c>
      <c r="F49" s="65">
        <v>186.10847765866237</v>
      </c>
      <c r="G49" s="6">
        <v>837</v>
      </c>
      <c r="H49" s="6">
        <v>774</v>
      </c>
      <c r="I49" s="65">
        <v>1.9135104312552522</v>
      </c>
      <c r="J49" s="6">
        <f>VLOOKUP($D49,Sheet1!$A$5:$C$192,3,TRUE)</f>
        <v>0</v>
      </c>
      <c r="K49" s="42" t="str">
        <f>VLOOKUP($D49,Sheet1!$A$5:$C$192,2,TRUE)</f>
        <v/>
      </c>
      <c r="L49" s="6">
        <f>FLOOR(VLOOKUP($D49,Sheet1!$D$5:$F$192,3,TRUE),1)</f>
        <v>1</v>
      </c>
      <c r="M49" s="42" t="str">
        <f>VLOOKUP($D49,Sheet1!$D$5:$F$192,2,TRUE)</f>
        <v>)|</v>
      </c>
      <c r="N49" s="23">
        <f>FLOOR(VLOOKUP($D49,Sheet1!$G$5:$I$192,3,TRUE),1)</f>
        <v>1</v>
      </c>
      <c r="O49" s="42" t="str">
        <f>VLOOKUP($D49,Sheet1!$G$5:$I$192,2,TRUE)</f>
        <v>.)|</v>
      </c>
      <c r="P49" s="23">
        <v>1</v>
      </c>
      <c r="Q49" s="43" t="str">
        <f>VLOOKUP($D49,Sheet1!$J$5:$L$192,2,TRUE)</f>
        <v>.)|</v>
      </c>
      <c r="R49" s="23">
        <f>FLOOR(VLOOKUP($D49,Sheet1!$M$5:$O$192,3,TRUE),1)</f>
        <v>3</v>
      </c>
      <c r="S49" s="42" t="str">
        <f>VLOOKUP($D49,Sheet1!$M$5:$O$192,2,TRUE)</f>
        <v>.)|</v>
      </c>
      <c r="T49" s="117">
        <f>IF(ABS(D49-VLOOKUP($D49,Sheet1!$M$5:$T$192,8,TRUE))&lt;10^-10,"SoCA",D49-VLOOKUP($D49,Sheet1!$M$5:$T$192,8,TRUE))</f>
        <v>-1.9645491005607418E-2</v>
      </c>
      <c r="U49" s="109" t="str">
        <f>IF(VLOOKUP($D49,Sheet1!$M$5:$U$192,9,TRUE)=0,"",IF(ABS(D49-VLOOKUP($D49,Sheet1!$M$5:$U$192,9,TRUE))&lt;10^-10,"Alt.",D49-VLOOKUP($D49,Sheet1!$M$5:$U$192,9,TRUE)))</f>
        <v/>
      </c>
      <c r="V49" s="132">
        <f>$D49-Sheet1!$M$3*$R49</f>
        <v>-5.9102993278079108E-2</v>
      </c>
      <c r="Z49" s="6"/>
      <c r="AA49" s="61"/>
    </row>
    <row r="50" spans="1:27" ht="13.5">
      <c r="A50" t="s">
        <v>660</v>
      </c>
      <c r="B50">
        <v>5368</v>
      </c>
      <c r="C50">
        <v>5373</v>
      </c>
      <c r="D50" s="13">
        <f t="shared" si="1"/>
        <v>1.6117998083205654</v>
      </c>
      <c r="E50" s="61" t="s">
        <v>1931</v>
      </c>
      <c r="F50" s="65">
        <v>325.4396657998218</v>
      </c>
      <c r="G50" s="6">
        <v>550</v>
      </c>
      <c r="H50" s="6">
        <v>505</v>
      </c>
      <c r="I50" s="65">
        <v>2.9007556136952979</v>
      </c>
      <c r="J50" s="6">
        <f>VLOOKUP($D50,Sheet1!$A$5:$C$192,3,TRUE)</f>
        <v>0</v>
      </c>
      <c r="K50" s="42" t="str">
        <f>VLOOKUP($D50,Sheet1!$A$5:$C$192,2,TRUE)</f>
        <v/>
      </c>
      <c r="L50" s="6">
        <f>FLOOR(VLOOKUP($D50,Sheet1!$D$5:$F$192,3,TRUE),1)</f>
        <v>1</v>
      </c>
      <c r="M50" s="42" t="str">
        <f>VLOOKUP($D50,Sheet1!$D$5:$F$192,2,TRUE)</f>
        <v>)|</v>
      </c>
      <c r="N50" s="23">
        <f>FLOOR(VLOOKUP($D50,Sheet1!$G$5:$I$192,3,TRUE),1)</f>
        <v>1</v>
      </c>
      <c r="O50" s="42" t="str">
        <f>VLOOKUP($D50,Sheet1!$G$5:$I$192,2,TRUE)</f>
        <v>.)|</v>
      </c>
      <c r="P50" s="23">
        <v>1</v>
      </c>
      <c r="Q50" s="43" t="str">
        <f>VLOOKUP($D50,Sheet1!$J$5:$L$192,2,TRUE)</f>
        <v>.)|</v>
      </c>
      <c r="R50" s="23">
        <f>FLOOR(VLOOKUP($D50,Sheet1!$M$5:$O$192,3,TRUE),1)</f>
        <v>3</v>
      </c>
      <c r="S50" s="42" t="str">
        <f>VLOOKUP($D50,Sheet1!$M$5:$O$192,2,TRUE)</f>
        <v>.)|</v>
      </c>
      <c r="T50" s="117">
        <f>IF(ABS(D50-VLOOKUP($D50,Sheet1!$M$5:$T$192,8,TRUE))&lt;10^-10,"SoCA",D50-VLOOKUP($D50,Sheet1!$M$5:$T$192,8,TRUE))</f>
        <v>0.18750186778987921</v>
      </c>
      <c r="U50" s="109" t="str">
        <f>IF(VLOOKUP($D50,Sheet1!$M$5:$U$192,9,TRUE)=0,"",IF(ABS(D50-VLOOKUP($D50,Sheet1!$M$5:$U$192,9,TRUE))&lt;10^-10,"Alt.",D50-VLOOKUP($D50,Sheet1!$M$5:$U$192,9,TRUE)))</f>
        <v/>
      </c>
      <c r="V50" s="132">
        <f>$D50-Sheet1!$M$3*$R50</f>
        <v>0.14804436551740752</v>
      </c>
      <c r="Z50" s="6"/>
      <c r="AA50" s="61"/>
    </row>
    <row r="51" spans="1:27" ht="13.5">
      <c r="A51" t="s">
        <v>944</v>
      </c>
      <c r="B51">
        <v>1125</v>
      </c>
      <c r="C51">
        <v>1126</v>
      </c>
      <c r="D51" s="13">
        <f t="shared" si="1"/>
        <v>1.5381911709962941</v>
      </c>
      <c r="E51" s="61" t="s">
        <v>1931</v>
      </c>
      <c r="F51" s="65">
        <v>809.34537454631629</v>
      </c>
      <c r="G51" s="6">
        <v>854</v>
      </c>
      <c r="H51" s="6">
        <v>792</v>
      </c>
      <c r="I51" s="65">
        <v>-2.0947120343337806</v>
      </c>
      <c r="J51" s="6">
        <f>VLOOKUP($D51,Sheet1!$A$5:$C$192,3,TRUE)</f>
        <v>0</v>
      </c>
      <c r="K51" s="42" t="str">
        <f>VLOOKUP($D51,Sheet1!$A$5:$C$192,2,TRUE)</f>
        <v/>
      </c>
      <c r="L51" s="6">
        <f>FLOOR(VLOOKUP($D51,Sheet1!$D$5:$F$192,3,TRUE),1)</f>
        <v>1</v>
      </c>
      <c r="M51" s="42" t="str">
        <f>VLOOKUP($D51,Sheet1!$D$5:$F$192,2,TRUE)</f>
        <v>)|</v>
      </c>
      <c r="N51" s="23">
        <f>FLOOR(VLOOKUP($D51,Sheet1!$G$5:$I$192,3,TRUE),1)</f>
        <v>1</v>
      </c>
      <c r="O51" s="42" t="str">
        <f>VLOOKUP($D51,Sheet1!$G$5:$I$192,2,TRUE)</f>
        <v>.)|</v>
      </c>
      <c r="P51" s="23">
        <v>1</v>
      </c>
      <c r="Q51" s="43" t="str">
        <f>VLOOKUP($D51,Sheet1!$J$5:$L$192,2,TRUE)</f>
        <v>.)|</v>
      </c>
      <c r="R51" s="23">
        <f>FLOOR(VLOOKUP($D51,Sheet1!$M$5:$O$192,3,TRUE),1)</f>
        <v>3</v>
      </c>
      <c r="S51" s="42" t="str">
        <f>VLOOKUP($D51,Sheet1!$M$5:$O$192,2,TRUE)</f>
        <v>.)|</v>
      </c>
      <c r="T51" s="117">
        <f>IF(ABS(D51-VLOOKUP($D51,Sheet1!$M$5:$T$192,8,TRUE))&lt;10^-10,"SoCA",D51-VLOOKUP($D51,Sheet1!$M$5:$T$192,8,TRUE))</f>
        <v>0.11389323046560795</v>
      </c>
      <c r="U51" s="109" t="str">
        <f>IF(VLOOKUP($D51,Sheet1!$M$5:$U$192,9,TRUE)=0,"",IF(ABS(D51-VLOOKUP($D51,Sheet1!$M$5:$U$192,9,TRUE))&lt;10^-10,"Alt.",D51-VLOOKUP($D51,Sheet1!$M$5:$U$192,9,TRUE)))</f>
        <v/>
      </c>
      <c r="V51" s="132">
        <f>$D51-Sheet1!$M$3*$R51</f>
        <v>7.4435728193136264E-2</v>
      </c>
      <c r="Z51" s="6"/>
      <c r="AA51" s="61"/>
    </row>
    <row r="52" spans="1:27" ht="13.5">
      <c r="A52" t="s">
        <v>927</v>
      </c>
      <c r="B52">
        <v>9383546</v>
      </c>
      <c r="C52">
        <v>9390699</v>
      </c>
      <c r="D52" s="13">
        <f t="shared" si="1"/>
        <v>1.3192027431386677</v>
      </c>
      <c r="E52" s="61" t="s">
        <v>1931</v>
      </c>
      <c r="F52" s="65">
        <v>1383078.2999775449</v>
      </c>
      <c r="G52" s="6">
        <v>838</v>
      </c>
      <c r="H52" s="6">
        <v>775</v>
      </c>
      <c r="I52" s="65">
        <v>1.918771880987693</v>
      </c>
      <c r="J52" s="6">
        <f>VLOOKUP($D52,Sheet1!$A$5:$C$192,3,TRUE)</f>
        <v>0</v>
      </c>
      <c r="K52" s="42" t="str">
        <f>VLOOKUP($D52,Sheet1!$A$5:$C$192,2,TRUE)</f>
        <v/>
      </c>
      <c r="L52" s="6">
        <f>FLOOR(VLOOKUP($D52,Sheet1!$D$5:$F$192,3,TRUE),1)</f>
        <v>1</v>
      </c>
      <c r="M52" s="42" t="str">
        <f>VLOOKUP($D52,Sheet1!$D$5:$F$192,2,TRUE)</f>
        <v>)|</v>
      </c>
      <c r="N52" s="23">
        <f>FLOOR(VLOOKUP($D52,Sheet1!$G$5:$I$192,3,TRUE),1)</f>
        <v>1</v>
      </c>
      <c r="O52" s="42" t="str">
        <f>VLOOKUP($D52,Sheet1!$G$5:$I$192,2,TRUE)</f>
        <v>.)|</v>
      </c>
      <c r="P52" s="23">
        <v>1</v>
      </c>
      <c r="Q52" s="43" t="str">
        <f>VLOOKUP($D52,Sheet1!$J$5:$L$192,2,TRUE)</f>
        <v>.)|</v>
      </c>
      <c r="R52" s="23">
        <f>FLOOR(VLOOKUP($D52,Sheet1!$M$5:$O$192,3,TRUE),1)</f>
        <v>3</v>
      </c>
      <c r="S52" s="42" t="str">
        <f>VLOOKUP($D52,Sheet1!$M$5:$O$192,2,TRUE)</f>
        <v>.)|</v>
      </c>
      <c r="T52" s="117">
        <f>IF(ABS(D52-VLOOKUP($D52,Sheet1!$M$5:$T$192,8,TRUE))&lt;10^-10,"SoCA",D52-VLOOKUP($D52,Sheet1!$M$5:$T$192,8,TRUE))</f>
        <v>-0.10509519739201845</v>
      </c>
      <c r="U52" s="109" t="str">
        <f>IF(VLOOKUP($D52,Sheet1!$M$5:$U$192,9,TRUE)=0,"",IF(ABS(D52-VLOOKUP($D52,Sheet1!$M$5:$U$192,9,TRUE))&lt;10^-10,"Alt.",D52-VLOOKUP($D52,Sheet1!$M$5:$U$192,9,TRUE)))</f>
        <v/>
      </c>
      <c r="V52" s="132">
        <f>$D52-Sheet1!$M$3*$R52</f>
        <v>-0.14455269966449014</v>
      </c>
      <c r="Z52" s="6"/>
      <c r="AA52" s="61"/>
    </row>
    <row r="53" spans="1:27" ht="13.5">
      <c r="A53" s="48" t="s">
        <v>14</v>
      </c>
      <c r="B53" s="48">
        <f>2^15</f>
        <v>32768</v>
      </c>
      <c r="C53" s="54">
        <f>3^8*5</f>
        <v>32805</v>
      </c>
      <c r="D53" s="51">
        <f t="shared" si="1"/>
        <v>1.9537207879341596</v>
      </c>
      <c r="E53" s="61">
        <v>5</v>
      </c>
      <c r="F53" s="65">
        <v>8.6418521756350586</v>
      </c>
      <c r="G53" s="25">
        <v>4</v>
      </c>
      <c r="H53" s="6">
        <v>4</v>
      </c>
      <c r="I53" s="65">
        <v>7.8797022932945397</v>
      </c>
      <c r="J53" s="6">
        <f>VLOOKUP($D53,Sheet1!$A$5:$C$192,3,TRUE)</f>
        <v>0</v>
      </c>
      <c r="K53" s="43" t="str">
        <f>VLOOKUP($D53,Sheet1!$A$5:$C$192,2,TRUE)</f>
        <v/>
      </c>
      <c r="L53" s="6">
        <f>FLOOR(VLOOKUP($D53,Sheet1!$D$5:$F$192,3,TRUE),1)</f>
        <v>1</v>
      </c>
      <c r="M53" s="42" t="str">
        <f>VLOOKUP($D53,Sheet1!$D$5:$F$192,2,TRUE)</f>
        <v>)|</v>
      </c>
      <c r="N53" s="39">
        <f>FLOOR(VLOOKUP($D53,Sheet1!$G$5:$I$192,3,TRUE),1)</f>
        <v>1</v>
      </c>
      <c r="O53" s="44" t="str">
        <f>VLOOKUP($D53,Sheet1!$G$5:$I$192,2,TRUE)</f>
        <v>'|</v>
      </c>
      <c r="P53" s="39">
        <v>1</v>
      </c>
      <c r="Q53" s="44" t="str">
        <f>VLOOKUP($D53,Sheet1!$J$5:$L$192,2,TRUE)</f>
        <v>'|</v>
      </c>
      <c r="R53" s="39">
        <f>FLOOR(VLOOKUP($D53,Sheet1!$M$5:$O$192,3,TRUE),1)</f>
        <v>4</v>
      </c>
      <c r="S53" s="44" t="str">
        <f>VLOOKUP($D53,Sheet1!$M$5:$O$192,2,TRUE)</f>
        <v>'|</v>
      </c>
      <c r="T53" s="113" t="str">
        <f>IF(ABS(D53-VLOOKUP($D53,Sheet1!$M$5:$T$192,8,TRUE))&lt;10^-10,"SoCA",D53-VLOOKUP($D53,Sheet1!$M$5:$T$192,8,TRUE))</f>
        <v>SoCA</v>
      </c>
      <c r="U53" s="118" t="str">
        <f>IF(VLOOKUP($D53,Sheet1!$M$5:$U$192,9,TRUE)=0,"",IF(ABS(D53-VLOOKUP($D53,Sheet1!$M$5:$U$192,9,TRUE))&lt;10^-10,"Alt.",D53-VLOOKUP($D53,Sheet1!$M$5:$U$192,9,TRUE)))</f>
        <v/>
      </c>
      <c r="V53" s="136">
        <f>$D53-Sheet1!$M$3*$R53</f>
        <v>2.0468641966158163E-3</v>
      </c>
      <c r="Z53" s="6"/>
      <c r="AA53" s="61"/>
    </row>
    <row r="54" spans="1:27" ht="13.5">
      <c r="A54" s="23" t="s">
        <v>1138</v>
      </c>
      <c r="B54" s="23">
        <f>3^4*13*17</f>
        <v>17901</v>
      </c>
      <c r="C54" s="23">
        <f>2^9*5*7</f>
        <v>17920</v>
      </c>
      <c r="D54" s="13">
        <f t="shared" si="1"/>
        <v>1.8365456026921436</v>
      </c>
      <c r="E54" s="61">
        <v>17</v>
      </c>
      <c r="F54" s="65">
        <v>42.348114418916744</v>
      </c>
      <c r="G54" s="6">
        <v>1045</v>
      </c>
      <c r="H54" s="6">
        <v>987</v>
      </c>
      <c r="I54" s="65">
        <v>-4.1130828036576679</v>
      </c>
      <c r="J54" s="6">
        <f>VLOOKUP($D54,Sheet1!$A$5:$C$192,3,TRUE)</f>
        <v>0</v>
      </c>
      <c r="K54" s="42" t="str">
        <f>VLOOKUP($D54,Sheet1!$A$5:$C$192,2,TRUE)</f>
        <v/>
      </c>
      <c r="L54" s="6">
        <f>FLOOR(VLOOKUP($D54,Sheet1!$D$5:$F$192,3,TRUE),1)</f>
        <v>1</v>
      </c>
      <c r="M54" s="42" t="str">
        <f>VLOOKUP($D54,Sheet1!$D$5:$F$192,2,TRUE)</f>
        <v>)|</v>
      </c>
      <c r="N54" s="23">
        <f>FLOOR(VLOOKUP($D54,Sheet1!$G$5:$I$192,3,TRUE),1)</f>
        <v>1</v>
      </c>
      <c r="O54" s="42" t="str">
        <f>VLOOKUP($D54,Sheet1!$G$5:$I$192,2,TRUE)</f>
        <v>'|</v>
      </c>
      <c r="P54" s="23">
        <v>1</v>
      </c>
      <c r="Q54" s="43" t="str">
        <f>VLOOKUP($D54,Sheet1!$J$5:$L$192,2,TRUE)</f>
        <v>'|</v>
      </c>
      <c r="R54" s="23">
        <f>FLOOR(VLOOKUP($D54,Sheet1!$M$5:$O$192,3,TRUE),1)</f>
        <v>4</v>
      </c>
      <c r="S54" s="43" t="str">
        <f>VLOOKUP($D54,Sheet1!$M$5:$O$192,2,TRUE)</f>
        <v>'|</v>
      </c>
      <c r="T54" s="117">
        <f>IF(ABS(D54-VLOOKUP($D54,Sheet1!$M$5:$T$192,8,TRUE))&lt;10^-10,"SoCA",D54-VLOOKUP($D54,Sheet1!$M$5:$T$192,8,TRUE))</f>
        <v>-0.11717518524201598</v>
      </c>
      <c r="U54" s="117" t="str">
        <f>IF(VLOOKUP($D54,Sheet1!$M$5:$U$192,9,TRUE)=0,"",IF(ABS(D54-VLOOKUP($D54,Sheet1!$M$5:$U$192,9,TRUE))&lt;10^-10,"Alt.",D54-VLOOKUP($D54,Sheet1!$M$5:$U$192,9,TRUE)))</f>
        <v/>
      </c>
      <c r="V54" s="132">
        <f>$D54-Sheet1!$M$3*$R54</f>
        <v>-0.11512832104540016</v>
      </c>
      <c r="Z54" s="6"/>
      <c r="AA54" s="61"/>
    </row>
    <row r="55" spans="1:27" ht="13.5">
      <c r="A55" s="6" t="s">
        <v>397</v>
      </c>
      <c r="B55" s="6">
        <f>3^6*5^2*11</f>
        <v>200475</v>
      </c>
      <c r="C55" s="6">
        <f>2^12*7^2</f>
        <v>200704</v>
      </c>
      <c r="D55" s="13">
        <f t="shared" si="1"/>
        <v>1.976437651498941</v>
      </c>
      <c r="E55" s="61">
        <v>11</v>
      </c>
      <c r="F55" s="65">
        <v>43.332833592928928</v>
      </c>
      <c r="G55" s="6">
        <v>234</v>
      </c>
      <c r="H55" s="6">
        <v>234</v>
      </c>
      <c r="I55" s="65">
        <v>-6.121696466757184</v>
      </c>
      <c r="J55" s="6">
        <f>VLOOKUP($D55,Sheet1!$A$5:$C$192,3,TRUE)</f>
        <v>0</v>
      </c>
      <c r="K55" s="42" t="str">
        <f>VLOOKUP($D55,Sheet1!$A$5:$C$192,2,TRUE)</f>
        <v/>
      </c>
      <c r="L55" s="6">
        <f>FLOOR(VLOOKUP($D55,Sheet1!$D$5:$F$192,3,TRUE),1)</f>
        <v>1</v>
      </c>
      <c r="M55" s="42" t="str">
        <f>VLOOKUP($D55,Sheet1!$D$5:$F$192,2,TRUE)</f>
        <v>)|</v>
      </c>
      <c r="N55" s="23">
        <f>FLOOR(VLOOKUP($D55,Sheet1!$G$5:$I$192,3,TRUE),1)</f>
        <v>1</v>
      </c>
      <c r="O55" s="42" t="str">
        <f>VLOOKUP($D55,Sheet1!$G$5:$I$192,2,TRUE)</f>
        <v>'|</v>
      </c>
      <c r="P55" s="23">
        <v>1</v>
      </c>
      <c r="Q55" s="43" t="str">
        <f>VLOOKUP($D55,Sheet1!$J$5:$L$192,2,TRUE)</f>
        <v>'|</v>
      </c>
      <c r="R55" s="23">
        <f>FLOOR(VLOOKUP($D55,Sheet1!$M$5:$O$192,3,TRUE),1)</f>
        <v>4</v>
      </c>
      <c r="S55" s="42" t="str">
        <f>VLOOKUP($D55,Sheet1!$M$5:$O$192,2,TRUE)</f>
        <v>'|</v>
      </c>
      <c r="T55" s="117">
        <f>IF(ABS(D55-VLOOKUP($D55,Sheet1!$M$5:$T$192,8,TRUE))&lt;10^-10,"SoCA",D55-VLOOKUP($D55,Sheet1!$M$5:$T$192,8,TRUE))</f>
        <v>2.271686356478142E-2</v>
      </c>
      <c r="U55" s="109" t="str">
        <f>IF(VLOOKUP($D55,Sheet1!$M$5:$U$192,9,TRUE)=0,"",IF(ABS(D55-VLOOKUP($D55,Sheet1!$M$5:$U$192,9,TRUE))&lt;10^-10,"Alt.",D55-VLOOKUP($D55,Sheet1!$M$5:$U$192,9,TRUE)))</f>
        <v/>
      </c>
      <c r="V55" s="132">
        <f>$D55-Sheet1!$M$3*$R55</f>
        <v>2.4763727761397236E-2</v>
      </c>
      <c r="Z55" s="6"/>
      <c r="AA55" s="61"/>
    </row>
    <row r="56" spans="1:27" ht="13.5">
      <c r="A56" t="s">
        <v>1528</v>
      </c>
      <c r="B56">
        <v>2250423</v>
      </c>
      <c r="C56">
        <v>2252800</v>
      </c>
      <c r="D56" s="13">
        <f t="shared" si="1"/>
        <v>1.8276437639521315</v>
      </c>
      <c r="E56" s="61">
        <v>11</v>
      </c>
      <c r="F56" s="65">
        <v>47.568731401354832</v>
      </c>
      <c r="G56" s="6">
        <v>1434</v>
      </c>
      <c r="H56" s="6">
        <v>1377</v>
      </c>
      <c r="I56" s="65">
        <v>-8.1125346850152802</v>
      </c>
      <c r="J56" s="6">
        <f>VLOOKUP($D56,Sheet1!$A$5:$C$192,3,TRUE)</f>
        <v>0</v>
      </c>
      <c r="K56" s="42" t="str">
        <f>VLOOKUP($D56,Sheet1!$A$5:$C$192,2,TRUE)</f>
        <v/>
      </c>
      <c r="L56" s="6">
        <f>FLOOR(VLOOKUP($D56,Sheet1!$D$5:$F$192,3,TRUE),1)</f>
        <v>1</v>
      </c>
      <c r="M56" s="42" t="str">
        <f>VLOOKUP($D56,Sheet1!$D$5:$F$192,2,TRUE)</f>
        <v>)|</v>
      </c>
      <c r="N56" s="23">
        <f>FLOOR(VLOOKUP($D56,Sheet1!$G$5:$I$192,3,TRUE),1)</f>
        <v>1</v>
      </c>
      <c r="O56" s="42" t="str">
        <f>VLOOKUP($D56,Sheet1!$G$5:$I$192,2,TRUE)</f>
        <v>'|</v>
      </c>
      <c r="P56" s="23">
        <v>1</v>
      </c>
      <c r="Q56" s="43" t="str">
        <f>VLOOKUP($D56,Sheet1!$J$5:$L$192,2,TRUE)</f>
        <v>'|</v>
      </c>
      <c r="R56" s="23">
        <f>FLOOR(VLOOKUP($D56,Sheet1!$M$5:$O$192,3,TRUE),1)</f>
        <v>4</v>
      </c>
      <c r="S56" s="42" t="str">
        <f>VLOOKUP($D56,Sheet1!$M$5:$O$192,2,TRUE)</f>
        <v>'|</v>
      </c>
      <c r="T56" s="117">
        <f>IF(ABS(D56-VLOOKUP($D56,Sheet1!$M$5:$T$192,8,TRUE))&lt;10^-10,"SoCA",D56-VLOOKUP($D56,Sheet1!$M$5:$T$192,8,TRUE))</f>
        <v>-0.12607702398202814</v>
      </c>
      <c r="U56" s="109" t="str">
        <f>IF(VLOOKUP($D56,Sheet1!$M$5:$U$192,9,TRUE)=0,"",IF(ABS(D56-VLOOKUP($D56,Sheet1!$M$5:$U$192,9,TRUE))&lt;10^-10,"Alt.",D56-VLOOKUP($D56,Sheet1!$M$5:$U$192,9,TRUE)))</f>
        <v/>
      </c>
      <c r="V56" s="132">
        <f>$D56-Sheet1!$M$3*$R56</f>
        <v>-0.12403015978541232</v>
      </c>
      <c r="Z56" s="6"/>
      <c r="AA56" s="61"/>
    </row>
    <row r="57" spans="1:27" ht="13.5">
      <c r="A57" t="s">
        <v>529</v>
      </c>
      <c r="B57">
        <v>7040</v>
      </c>
      <c r="C57">
        <v>7047</v>
      </c>
      <c r="D57" s="13">
        <f t="shared" si="1"/>
        <v>1.7205422504320809</v>
      </c>
      <c r="E57" s="61">
        <v>29</v>
      </c>
      <c r="F57" s="65">
        <v>54.656522305809695</v>
      </c>
      <c r="G57" s="6">
        <v>397</v>
      </c>
      <c r="H57" s="6">
        <v>372</v>
      </c>
      <c r="I57" s="65">
        <v>4.894059945364206</v>
      </c>
      <c r="J57" s="6">
        <f>VLOOKUP($D57,Sheet1!$A$5:$C$192,3,TRUE)</f>
        <v>0</v>
      </c>
      <c r="K57" s="42" t="str">
        <f>VLOOKUP($D57,Sheet1!$A$5:$C$192,2,TRUE)</f>
        <v/>
      </c>
      <c r="L57" s="6">
        <f>FLOOR(VLOOKUP($D57,Sheet1!$D$5:$F$192,3,TRUE),1)</f>
        <v>1</v>
      </c>
      <c r="M57" s="42" t="str">
        <f>VLOOKUP($D57,Sheet1!$D$5:$F$192,2,TRUE)</f>
        <v>)|</v>
      </c>
      <c r="N57" s="23">
        <f>FLOOR(VLOOKUP($D57,Sheet1!$G$5:$I$192,3,TRUE),1)</f>
        <v>1</v>
      </c>
      <c r="O57" s="42" t="str">
        <f>VLOOKUP($D57,Sheet1!$G$5:$I$192,2,TRUE)</f>
        <v>'|</v>
      </c>
      <c r="P57" s="23">
        <v>1</v>
      </c>
      <c r="Q57" s="43" t="str">
        <f>VLOOKUP($D57,Sheet1!$J$5:$L$192,2,TRUE)</f>
        <v>'|</v>
      </c>
      <c r="R57" s="23">
        <f>FLOOR(VLOOKUP($D57,Sheet1!$M$5:$O$192,3,TRUE),1)</f>
        <v>4</v>
      </c>
      <c r="S57" s="42" t="str">
        <f>VLOOKUP($D57,Sheet1!$M$5:$O$192,2,TRUE)</f>
        <v>'|</v>
      </c>
      <c r="T57" s="117">
        <f>IF(ABS(D57-VLOOKUP($D57,Sheet1!$M$5:$T$192,8,TRUE))&lt;10^-10,"SoCA",D57-VLOOKUP($D57,Sheet1!$M$5:$T$192,8,TRUE))</f>
        <v>-0.23317853750207873</v>
      </c>
      <c r="U57" s="109" t="str">
        <f>IF(VLOOKUP($D57,Sheet1!$M$5:$U$192,9,TRUE)=0,"",IF(ABS(D57-VLOOKUP($D57,Sheet1!$M$5:$U$192,9,TRUE))&lt;10^-10,"Alt.",D57-VLOOKUP($D57,Sheet1!$M$5:$U$192,9,TRUE)))</f>
        <v/>
      </c>
      <c r="V57" s="132">
        <f>$D57-Sheet1!$M$3*$R57</f>
        <v>-0.23113167330546291</v>
      </c>
      <c r="Z57" s="6"/>
      <c r="AA57" s="61"/>
    </row>
    <row r="58" spans="1:27" ht="13.5">
      <c r="A58" t="s">
        <v>619</v>
      </c>
      <c r="B58">
        <v>63423</v>
      </c>
      <c r="C58">
        <v>63488</v>
      </c>
      <c r="D58" s="13">
        <f t="shared" si="1"/>
        <v>1.7733722534518357</v>
      </c>
      <c r="E58" s="61">
        <v>31</v>
      </c>
      <c r="F58" s="65">
        <v>63.033050928254312</v>
      </c>
      <c r="G58" s="6">
        <v>431</v>
      </c>
      <c r="H58" s="6">
        <v>464</v>
      </c>
      <c r="I58" s="65">
        <v>-7.1091929903919002</v>
      </c>
      <c r="J58" s="6">
        <f>VLOOKUP($D58,Sheet1!$A$5:$C$192,3,TRUE)</f>
        <v>0</v>
      </c>
      <c r="K58" s="42" t="str">
        <f>VLOOKUP($D58,Sheet1!$A$5:$C$192,2,TRUE)</f>
        <v/>
      </c>
      <c r="L58" s="6">
        <f>FLOOR(VLOOKUP($D58,Sheet1!$D$5:$F$192,3,TRUE),1)</f>
        <v>1</v>
      </c>
      <c r="M58" s="42" t="str">
        <f>VLOOKUP($D58,Sheet1!$D$5:$F$192,2,TRUE)</f>
        <v>)|</v>
      </c>
      <c r="N58" s="23">
        <f>FLOOR(VLOOKUP($D58,Sheet1!$G$5:$I$192,3,TRUE),1)</f>
        <v>1</v>
      </c>
      <c r="O58" s="42" t="str">
        <f>VLOOKUP($D58,Sheet1!$G$5:$I$192,2,TRUE)</f>
        <v>'|</v>
      </c>
      <c r="P58" s="23">
        <v>1</v>
      </c>
      <c r="Q58" s="43" t="str">
        <f>VLOOKUP($D58,Sheet1!$J$5:$L$192,2,TRUE)</f>
        <v>'|</v>
      </c>
      <c r="R58" s="23">
        <f>FLOOR(VLOOKUP($D58,Sheet1!$M$5:$O$192,3,TRUE),1)</f>
        <v>4</v>
      </c>
      <c r="S58" s="42" t="str">
        <f>VLOOKUP($D58,Sheet1!$M$5:$O$192,2,TRUE)</f>
        <v>'|</v>
      </c>
      <c r="T58" s="117">
        <f>IF(ABS(D58-VLOOKUP($D58,Sheet1!$M$5:$T$192,8,TRUE))&lt;10^-10,"SoCA",D58-VLOOKUP($D58,Sheet1!$M$5:$T$192,8,TRUE))</f>
        <v>-0.18034853448232391</v>
      </c>
      <c r="U58" s="109" t="str">
        <f>IF(VLOOKUP($D58,Sheet1!$M$5:$U$192,9,TRUE)=0,"",IF(ABS(D58-VLOOKUP($D58,Sheet1!$M$5:$U$192,9,TRUE))&lt;10^-10,"Alt.",D58-VLOOKUP($D58,Sheet1!$M$5:$U$192,9,TRUE)))</f>
        <v/>
      </c>
      <c r="V58" s="132">
        <f>$D58-Sheet1!$M$3*$R58</f>
        <v>-0.17830167028570809</v>
      </c>
      <c r="Z58" s="6"/>
      <c r="AA58" s="61"/>
    </row>
    <row r="59" spans="1:27" ht="13.5">
      <c r="A59" s="6" t="s">
        <v>1806</v>
      </c>
      <c r="B59">
        <v>3011499</v>
      </c>
      <c r="C59">
        <v>3014656</v>
      </c>
      <c r="D59" s="13">
        <f t="shared" si="1"/>
        <v>1.8139282487467534</v>
      </c>
      <c r="E59" s="61">
        <v>23</v>
      </c>
      <c r="F59" s="65">
        <v>83.988811477777446</v>
      </c>
      <c r="G59" s="59">
        <v>510</v>
      </c>
      <c r="H59" s="63">
        <v>1000011</v>
      </c>
      <c r="I59" s="65">
        <v>-11.111690170775743</v>
      </c>
      <c r="J59" s="6">
        <f>VLOOKUP($D59,Sheet1!$A$5:$C$192,3,TRUE)</f>
        <v>0</v>
      </c>
      <c r="K59" s="42" t="str">
        <f>VLOOKUP($D59,Sheet1!$A$5:$C$192,2,TRUE)</f>
        <v/>
      </c>
      <c r="L59" s="6">
        <f>FLOOR(VLOOKUP($D59,Sheet1!$D$5:$F$192,3,TRUE),1)</f>
        <v>1</v>
      </c>
      <c r="M59" s="42" t="str">
        <f>VLOOKUP($D59,Sheet1!$D$5:$F$192,2,TRUE)</f>
        <v>)|</v>
      </c>
      <c r="N59" s="23">
        <f>FLOOR(VLOOKUP($D59,Sheet1!$G$5:$I$192,3,TRUE),1)</f>
        <v>1</v>
      </c>
      <c r="O59" s="42" t="str">
        <f>VLOOKUP($D59,Sheet1!$G$5:$I$192,2,TRUE)</f>
        <v>'|</v>
      </c>
      <c r="P59" s="23">
        <v>1</v>
      </c>
      <c r="Q59" s="43" t="str">
        <f>VLOOKUP($D59,Sheet1!$J$5:$L$192,2,TRUE)</f>
        <v>'|</v>
      </c>
      <c r="R59" s="23">
        <f>FLOOR(VLOOKUP($D59,Sheet1!$M$5:$O$192,3,TRUE),1)</f>
        <v>4</v>
      </c>
      <c r="S59" s="42" t="str">
        <f>VLOOKUP($D59,Sheet1!$M$5:$O$192,2,TRUE)</f>
        <v>'|</v>
      </c>
      <c r="T59" s="117">
        <f>IF(ABS(D59-VLOOKUP($D59,Sheet1!$M$5:$T$192,8,TRUE))&lt;10^-10,"SoCA",D59-VLOOKUP($D59,Sheet1!$M$5:$T$192,8,TRUE))</f>
        <v>-0.1397925391874062</v>
      </c>
      <c r="U59" s="109" t="str">
        <f>IF(VLOOKUP($D59,Sheet1!$M$5:$U$192,9,TRUE)=0,"",IF(ABS(D59-VLOOKUP($D59,Sheet1!$M$5:$U$192,9,TRUE))&lt;10^-10,"Alt.",D59-VLOOKUP($D59,Sheet1!$M$5:$U$192,9,TRUE)))</f>
        <v/>
      </c>
      <c r="V59" s="132">
        <f>$D59-Sheet1!$M$3*$R59</f>
        <v>-0.13774567499079038</v>
      </c>
      <c r="Z59" s="6"/>
      <c r="AA59" s="61"/>
    </row>
    <row r="60" spans="1:27" ht="13.5">
      <c r="A60" s="6" t="s">
        <v>324</v>
      </c>
      <c r="B60" s="6">
        <f>2^2*13*17</f>
        <v>884</v>
      </c>
      <c r="C60" s="6">
        <f>3*5*59</f>
        <v>885</v>
      </c>
      <c r="D60" s="13">
        <f t="shared" si="1"/>
        <v>1.9573026947138563</v>
      </c>
      <c r="E60" s="61" t="s">
        <v>1931</v>
      </c>
      <c r="F60" s="65">
        <v>94.048408621498623</v>
      </c>
      <c r="G60" s="6">
        <v>172</v>
      </c>
      <c r="H60" s="6">
        <v>155</v>
      </c>
      <c r="I60" s="65">
        <v>0.87948174224451681</v>
      </c>
      <c r="J60" s="6">
        <f>VLOOKUP($D60,Sheet1!$A$5:$C$192,3,TRUE)</f>
        <v>0</v>
      </c>
      <c r="K60" s="42" t="str">
        <f>VLOOKUP($D60,Sheet1!$A$5:$C$192,2,TRUE)</f>
        <v/>
      </c>
      <c r="L60" s="6">
        <f>FLOOR(VLOOKUP($D60,Sheet1!$D$5:$F$192,3,TRUE),1)</f>
        <v>1</v>
      </c>
      <c r="M60" s="42" t="str">
        <f>VLOOKUP($D60,Sheet1!$D$5:$F$192,2,TRUE)</f>
        <v>)|</v>
      </c>
      <c r="N60" s="23">
        <f>FLOOR(VLOOKUP($D60,Sheet1!$G$5:$I$192,3,TRUE),1)</f>
        <v>1</v>
      </c>
      <c r="O60" s="42" t="str">
        <f>VLOOKUP($D60,Sheet1!$G$5:$I$192,2,TRUE)</f>
        <v>'|</v>
      </c>
      <c r="P60" s="23">
        <v>1</v>
      </c>
      <c r="Q60" s="43" t="str">
        <f>VLOOKUP($D60,Sheet1!$J$5:$L$192,2,TRUE)</f>
        <v>'|</v>
      </c>
      <c r="R60" s="23">
        <f>FLOOR(VLOOKUP($D60,Sheet1!$M$5:$O$192,3,TRUE),1)</f>
        <v>4</v>
      </c>
      <c r="S60" s="42" t="str">
        <f>VLOOKUP($D60,Sheet1!$M$5:$O$192,2,TRUE)</f>
        <v>'|</v>
      </c>
      <c r="T60" s="117">
        <f>IF(ABS(D60-VLOOKUP($D60,Sheet1!$M$5:$T$192,8,TRUE))&lt;10^-10,"SoCA",D60-VLOOKUP($D60,Sheet1!$M$5:$T$192,8,TRUE))</f>
        <v>3.5819067796967197E-3</v>
      </c>
      <c r="U60" s="109" t="str">
        <f>IF(VLOOKUP($D60,Sheet1!$M$5:$U$192,9,TRUE)=0,"",IF(ABS(D60-VLOOKUP($D60,Sheet1!$M$5:$U$192,9,TRUE))&lt;10^-10,"Alt.",D60-VLOOKUP($D60,Sheet1!$M$5:$U$192,9,TRUE)))</f>
        <v/>
      </c>
      <c r="V60" s="132">
        <f>$D60-Sheet1!$M$3*$R60</f>
        <v>5.628770976312536E-3</v>
      </c>
      <c r="Z60" s="6"/>
      <c r="AA60" s="61"/>
    </row>
    <row r="61" spans="1:27" ht="13.5">
      <c r="A61" t="s">
        <v>625</v>
      </c>
      <c r="B61">
        <v>18688</v>
      </c>
      <c r="C61">
        <v>18711</v>
      </c>
      <c r="D61" s="13">
        <f t="shared" si="1"/>
        <v>2.1293825047981807</v>
      </c>
      <c r="E61" s="61" t="s">
        <v>1931</v>
      </c>
      <c r="F61" s="65">
        <v>109.966453795726</v>
      </c>
      <c r="G61" s="6">
        <v>476</v>
      </c>
      <c r="H61" s="6">
        <v>470</v>
      </c>
      <c r="I61" s="65">
        <v>4.8688861614167447</v>
      </c>
      <c r="J61" s="6">
        <f>VLOOKUP($D61,Sheet1!$A$5:$C$192,3,TRUE)</f>
        <v>0</v>
      </c>
      <c r="K61" s="42" t="str">
        <f>VLOOKUP($D61,Sheet1!$A$5:$C$192,2,TRUE)</f>
        <v/>
      </c>
      <c r="L61" s="6">
        <f>FLOOR(VLOOKUP($D61,Sheet1!$D$5:$F$192,3,TRUE),1)</f>
        <v>1</v>
      </c>
      <c r="M61" s="42" t="str">
        <f>VLOOKUP($D61,Sheet1!$D$5:$F$192,2,TRUE)</f>
        <v>)|</v>
      </c>
      <c r="N61" s="23">
        <f>FLOOR(VLOOKUP($D61,Sheet1!$G$5:$I$192,3,TRUE),1)</f>
        <v>1</v>
      </c>
      <c r="O61" s="42" t="str">
        <f>VLOOKUP($D61,Sheet1!$G$5:$I$192,2,TRUE)</f>
        <v>'|</v>
      </c>
      <c r="P61" s="23">
        <v>1</v>
      </c>
      <c r="Q61" s="43" t="str">
        <f>VLOOKUP($D61,Sheet1!$J$5:$L$192,2,TRUE)</f>
        <v>'|</v>
      </c>
      <c r="R61" s="23">
        <f>FLOOR(VLOOKUP($D61,Sheet1!$M$5:$O$192,3,TRUE),1)</f>
        <v>4</v>
      </c>
      <c r="S61" s="42" t="str">
        <f>VLOOKUP($D61,Sheet1!$M$5:$O$192,2,TRUE)</f>
        <v>'|</v>
      </c>
      <c r="T61" s="117">
        <f>IF(ABS(D61-VLOOKUP($D61,Sheet1!$M$5:$T$192,8,TRUE))&lt;10^-10,"SoCA",D61-VLOOKUP($D61,Sheet1!$M$5:$T$192,8,TRUE))</f>
        <v>0.1756617168640211</v>
      </c>
      <c r="U61" s="109" t="str">
        <f>IF(VLOOKUP($D61,Sheet1!$M$5:$U$192,9,TRUE)=0,"",IF(ABS(D61-VLOOKUP($D61,Sheet1!$M$5:$U$192,9,TRUE))&lt;10^-10,"Alt.",D61-VLOOKUP($D61,Sheet1!$M$5:$U$192,9,TRUE)))</f>
        <v/>
      </c>
      <c r="V61" s="132">
        <f>$D61-Sheet1!$M$3*$R61</f>
        <v>0.17770858106063692</v>
      </c>
      <c r="Z61" s="6"/>
      <c r="AA61" s="61"/>
    </row>
    <row r="62" spans="1:27" ht="13.5">
      <c r="A62" t="s">
        <v>697</v>
      </c>
      <c r="B62">
        <v>34263</v>
      </c>
      <c r="C62">
        <v>34304</v>
      </c>
      <c r="D62" s="13">
        <f t="shared" si="1"/>
        <v>2.0704013438375339</v>
      </c>
      <c r="E62" s="61" t="s">
        <v>1931</v>
      </c>
      <c r="F62" s="65">
        <v>115.7582817327695</v>
      </c>
      <c r="G62" s="6">
        <v>559</v>
      </c>
      <c r="H62" s="6">
        <v>542</v>
      </c>
      <c r="I62" s="65">
        <v>-6.1274821536228403</v>
      </c>
      <c r="J62" s="6">
        <f>VLOOKUP($D62,Sheet1!$A$5:$C$192,3,TRUE)</f>
        <v>0</v>
      </c>
      <c r="K62" s="42" t="str">
        <f>VLOOKUP($D62,Sheet1!$A$5:$C$192,2,TRUE)</f>
        <v/>
      </c>
      <c r="L62" s="6">
        <f>FLOOR(VLOOKUP($D62,Sheet1!$D$5:$F$192,3,TRUE),1)</f>
        <v>1</v>
      </c>
      <c r="M62" s="42" t="str">
        <f>VLOOKUP($D62,Sheet1!$D$5:$F$192,2,TRUE)</f>
        <v>)|</v>
      </c>
      <c r="N62" s="23">
        <f>FLOOR(VLOOKUP($D62,Sheet1!$G$5:$I$192,3,TRUE),1)</f>
        <v>1</v>
      </c>
      <c r="O62" s="42" t="str">
        <f>VLOOKUP($D62,Sheet1!$G$5:$I$192,2,TRUE)</f>
        <v>'|</v>
      </c>
      <c r="P62" s="23">
        <v>1</v>
      </c>
      <c r="Q62" s="43" t="str">
        <f>VLOOKUP($D62,Sheet1!$J$5:$L$192,2,TRUE)</f>
        <v>'|</v>
      </c>
      <c r="R62" s="23">
        <f>FLOOR(VLOOKUP($D62,Sheet1!$M$5:$O$192,3,TRUE),1)</f>
        <v>4</v>
      </c>
      <c r="S62" s="42" t="str">
        <f>VLOOKUP($D62,Sheet1!$M$5:$O$192,2,TRUE)</f>
        <v>'|</v>
      </c>
      <c r="T62" s="117">
        <f>IF(ABS(D62-VLOOKUP($D62,Sheet1!$M$5:$T$192,8,TRUE))&lt;10^-10,"SoCA",D62-VLOOKUP($D62,Sheet1!$M$5:$T$192,8,TRUE))</f>
        <v>0.11668055590337434</v>
      </c>
      <c r="U62" s="109" t="str">
        <f>IF(VLOOKUP($D62,Sheet1!$M$5:$U$192,9,TRUE)=0,"",IF(ABS(D62-VLOOKUP($D62,Sheet1!$M$5:$U$192,9,TRUE))&lt;10^-10,"Alt.",D62-VLOOKUP($D62,Sheet1!$M$5:$U$192,9,TRUE)))</f>
        <v/>
      </c>
      <c r="V62" s="132">
        <f>$D62-Sheet1!$M$3*$R62</f>
        <v>0.11872742009999016</v>
      </c>
      <c r="Z62" s="6"/>
      <c r="AA62" s="61"/>
    </row>
    <row r="63" spans="1:27" ht="13.5">
      <c r="A63" t="s">
        <v>1034</v>
      </c>
      <c r="B63">
        <v>1769472</v>
      </c>
      <c r="C63">
        <v>1771561</v>
      </c>
      <c r="D63" s="13">
        <f t="shared" si="1"/>
        <v>2.0426515923778492</v>
      </c>
      <c r="E63" s="61">
        <v>11</v>
      </c>
      <c r="F63" s="65">
        <v>145.39497102098991</v>
      </c>
      <c r="G63" s="6">
        <v>954</v>
      </c>
      <c r="H63" s="6">
        <v>882</v>
      </c>
      <c r="I63" s="65">
        <v>-3.1257735003276186</v>
      </c>
      <c r="J63" s="6">
        <f>VLOOKUP($D63,Sheet1!$A$5:$C$192,3,TRUE)</f>
        <v>0</v>
      </c>
      <c r="K63" s="42" t="str">
        <f>VLOOKUP($D63,Sheet1!$A$5:$C$192,2,TRUE)</f>
        <v/>
      </c>
      <c r="L63" s="6">
        <f>FLOOR(VLOOKUP($D63,Sheet1!$D$5:$F$192,3,TRUE),1)</f>
        <v>1</v>
      </c>
      <c r="M63" s="42" t="str">
        <f>VLOOKUP($D63,Sheet1!$D$5:$F$192,2,TRUE)</f>
        <v>)|</v>
      </c>
      <c r="N63" s="23">
        <f>FLOOR(VLOOKUP($D63,Sheet1!$G$5:$I$192,3,TRUE),1)</f>
        <v>1</v>
      </c>
      <c r="O63" s="42" t="str">
        <f>VLOOKUP($D63,Sheet1!$G$5:$I$192,2,TRUE)</f>
        <v>'|</v>
      </c>
      <c r="P63" s="23">
        <v>1</v>
      </c>
      <c r="Q63" s="43" t="str">
        <f>VLOOKUP($D63,Sheet1!$J$5:$L$192,2,TRUE)</f>
        <v>'|</v>
      </c>
      <c r="R63" s="23">
        <f>FLOOR(VLOOKUP($D63,Sheet1!$M$5:$O$192,3,TRUE),1)</f>
        <v>4</v>
      </c>
      <c r="S63" s="42" t="str">
        <f>VLOOKUP($D63,Sheet1!$M$5:$O$192,2,TRUE)</f>
        <v>'|</v>
      </c>
      <c r="T63" s="117">
        <f>IF(ABS(D63-VLOOKUP($D63,Sheet1!$M$5:$T$192,8,TRUE))&lt;10^-10,"SoCA",D63-VLOOKUP($D63,Sheet1!$M$5:$T$192,8,TRUE))</f>
        <v>8.8930804443689615E-2</v>
      </c>
      <c r="U63" s="109" t="str">
        <f>IF(VLOOKUP($D63,Sheet1!$M$5:$U$192,9,TRUE)=0,"",IF(ABS(D63-VLOOKUP($D63,Sheet1!$M$5:$U$192,9,TRUE))&lt;10^-10,"Alt.",D63-VLOOKUP($D63,Sheet1!$M$5:$U$192,9,TRUE)))</f>
        <v/>
      </c>
      <c r="V63" s="132">
        <f>$D63-Sheet1!$M$3*$R63</f>
        <v>9.0977668640305431E-2</v>
      </c>
      <c r="Z63" s="6"/>
      <c r="AA63" s="61"/>
    </row>
    <row r="64" spans="1:27" ht="13.5">
      <c r="A64" t="s">
        <v>747</v>
      </c>
      <c r="B64">
        <v>2624</v>
      </c>
      <c r="C64">
        <v>2627</v>
      </c>
      <c r="D64" s="13">
        <f t="shared" si="1"/>
        <v>1.9781766186579017</v>
      </c>
      <c r="E64" s="61" t="s">
        <v>1931</v>
      </c>
      <c r="F64" s="65">
        <v>178.82893766341039</v>
      </c>
      <c r="G64" s="6">
        <v>707</v>
      </c>
      <c r="H64" s="6">
        <v>592</v>
      </c>
      <c r="I64" s="65">
        <v>-0.12180354130056338</v>
      </c>
      <c r="J64" s="6">
        <f>VLOOKUP($D64,Sheet1!$A$5:$C$192,3,TRUE)</f>
        <v>0</v>
      </c>
      <c r="K64" s="42" t="str">
        <f>VLOOKUP($D64,Sheet1!$A$5:$C$192,2,TRUE)</f>
        <v/>
      </c>
      <c r="L64" s="6">
        <f>FLOOR(VLOOKUP($D64,Sheet1!$D$5:$F$192,3,TRUE),1)</f>
        <v>1</v>
      </c>
      <c r="M64" s="42" t="str">
        <f>VLOOKUP($D64,Sheet1!$D$5:$F$192,2,TRUE)</f>
        <v>)|</v>
      </c>
      <c r="N64" s="23">
        <f>FLOOR(VLOOKUP($D64,Sheet1!$G$5:$I$192,3,TRUE),1)</f>
        <v>1</v>
      </c>
      <c r="O64" s="42" t="str">
        <f>VLOOKUP($D64,Sheet1!$G$5:$I$192,2,TRUE)</f>
        <v>'|</v>
      </c>
      <c r="P64" s="23">
        <v>1</v>
      </c>
      <c r="Q64" s="43" t="str">
        <f>VLOOKUP($D64,Sheet1!$J$5:$L$192,2,TRUE)</f>
        <v>'|</v>
      </c>
      <c r="R64" s="23">
        <f>FLOOR(VLOOKUP($D64,Sheet1!$M$5:$O$192,3,TRUE),1)</f>
        <v>4</v>
      </c>
      <c r="S64" s="42" t="str">
        <f>VLOOKUP($D64,Sheet1!$M$5:$O$192,2,TRUE)</f>
        <v>'|</v>
      </c>
      <c r="T64" s="117">
        <f>IF(ABS(D64-VLOOKUP($D64,Sheet1!$M$5:$T$192,8,TRUE))&lt;10^-10,"SoCA",D64-VLOOKUP($D64,Sheet1!$M$5:$T$192,8,TRUE))</f>
        <v>2.4455830723742134E-2</v>
      </c>
      <c r="U64" s="109" t="str">
        <f>IF(VLOOKUP($D64,Sheet1!$M$5:$U$192,9,TRUE)=0,"",IF(ABS(D64-VLOOKUP($D64,Sheet1!$M$5:$U$192,9,TRUE))&lt;10^-10,"Alt.",D64-VLOOKUP($D64,Sheet1!$M$5:$U$192,9,TRUE)))</f>
        <v/>
      </c>
      <c r="V64" s="132">
        <f>$D64-Sheet1!$M$3*$R64</f>
        <v>2.650269492035795E-2</v>
      </c>
      <c r="Z64" s="6"/>
      <c r="AA64" s="61"/>
    </row>
    <row r="65" spans="1:27" ht="13.5">
      <c r="A65" t="s">
        <v>1061</v>
      </c>
      <c r="B65">
        <v>40310784</v>
      </c>
      <c r="C65">
        <v>40353607</v>
      </c>
      <c r="D65" s="13">
        <f t="shared" si="1"/>
        <v>1.8381504336376335</v>
      </c>
      <c r="E65" s="61">
        <v>7</v>
      </c>
      <c r="F65" s="65">
        <v>188.68873820181747</v>
      </c>
      <c r="G65" s="6">
        <v>611</v>
      </c>
      <c r="H65" s="6">
        <v>910</v>
      </c>
      <c r="I65" s="65">
        <v>-9.1131816189456991</v>
      </c>
      <c r="J65" s="6">
        <f>VLOOKUP($D65,Sheet1!$A$5:$C$192,3,TRUE)</f>
        <v>0</v>
      </c>
      <c r="K65" s="42" t="str">
        <f>VLOOKUP($D65,Sheet1!$A$5:$C$192,2,TRUE)</f>
        <v/>
      </c>
      <c r="L65" s="6">
        <f>FLOOR(VLOOKUP($D65,Sheet1!$D$5:$F$192,3,TRUE),1)</f>
        <v>1</v>
      </c>
      <c r="M65" s="42" t="str">
        <f>VLOOKUP($D65,Sheet1!$D$5:$F$192,2,TRUE)</f>
        <v>)|</v>
      </c>
      <c r="N65" s="23">
        <f>FLOOR(VLOOKUP($D65,Sheet1!$G$5:$I$192,3,TRUE),1)</f>
        <v>1</v>
      </c>
      <c r="O65" s="42" t="str">
        <f>VLOOKUP($D65,Sheet1!$G$5:$I$192,2,TRUE)</f>
        <v>'|</v>
      </c>
      <c r="P65" s="23">
        <v>1</v>
      </c>
      <c r="Q65" s="43" t="str">
        <f>VLOOKUP($D65,Sheet1!$J$5:$L$192,2,TRUE)</f>
        <v>'|</v>
      </c>
      <c r="R65" s="23">
        <f>FLOOR(VLOOKUP($D65,Sheet1!$M$5:$O$192,3,TRUE),1)</f>
        <v>4</v>
      </c>
      <c r="S65" s="42" t="str">
        <f>VLOOKUP($D65,Sheet1!$M$5:$O$192,2,TRUE)</f>
        <v>'|</v>
      </c>
      <c r="T65" s="117">
        <f>IF(ABS(D65-VLOOKUP($D65,Sheet1!$M$5:$T$192,8,TRUE))&lt;10^-10,"SoCA",D65-VLOOKUP($D65,Sheet1!$M$5:$T$192,8,TRUE))</f>
        <v>-0.11557035429652607</v>
      </c>
      <c r="U65" s="109" t="str">
        <f>IF(VLOOKUP($D65,Sheet1!$M$5:$U$192,9,TRUE)=0,"",IF(ABS(D65-VLOOKUP($D65,Sheet1!$M$5:$U$192,9,TRUE))&lt;10^-10,"Alt.",D65-VLOOKUP($D65,Sheet1!$M$5:$U$192,9,TRUE)))</f>
        <v/>
      </c>
      <c r="V65" s="132">
        <f>$D65-Sheet1!$M$3*$R65</f>
        <v>-0.11352349009991025</v>
      </c>
      <c r="Z65" s="6"/>
      <c r="AA65" s="61"/>
    </row>
    <row r="66" spans="1:27" ht="13.5">
      <c r="A66" t="s">
        <v>813</v>
      </c>
      <c r="B66">
        <v>10000</v>
      </c>
      <c r="C66">
        <v>10011</v>
      </c>
      <c r="D66" s="13">
        <f t="shared" si="1"/>
        <v>1.9033108248316428</v>
      </c>
      <c r="E66" s="61" t="s">
        <v>1931</v>
      </c>
      <c r="F66" s="65">
        <v>193.25246806505413</v>
      </c>
      <c r="G66" s="6">
        <v>688</v>
      </c>
      <c r="H66" s="6">
        <v>660</v>
      </c>
      <c r="I66" s="65">
        <v>0.88280621837625606</v>
      </c>
      <c r="J66" s="6">
        <f>VLOOKUP($D66,Sheet1!$A$5:$C$192,3,TRUE)</f>
        <v>0</v>
      </c>
      <c r="K66" s="42" t="str">
        <f>VLOOKUP($D66,Sheet1!$A$5:$C$192,2,TRUE)</f>
        <v/>
      </c>
      <c r="L66" s="6">
        <f>FLOOR(VLOOKUP($D66,Sheet1!$D$5:$F$192,3,TRUE),1)</f>
        <v>1</v>
      </c>
      <c r="M66" s="42" t="str">
        <f>VLOOKUP($D66,Sheet1!$D$5:$F$192,2,TRUE)</f>
        <v>)|</v>
      </c>
      <c r="N66" s="23">
        <f>FLOOR(VLOOKUP($D66,Sheet1!$G$5:$I$192,3,TRUE),1)</f>
        <v>1</v>
      </c>
      <c r="O66" s="42" t="str">
        <f>VLOOKUP($D66,Sheet1!$G$5:$I$192,2,TRUE)</f>
        <v>'|</v>
      </c>
      <c r="P66" s="23">
        <v>1</v>
      </c>
      <c r="Q66" s="43" t="str">
        <f>VLOOKUP($D66,Sheet1!$J$5:$L$192,2,TRUE)</f>
        <v>'|</v>
      </c>
      <c r="R66" s="23">
        <f>FLOOR(VLOOKUP($D66,Sheet1!$M$5:$O$192,3,TRUE),1)</f>
        <v>4</v>
      </c>
      <c r="S66" s="42" t="str">
        <f>VLOOKUP($D66,Sheet1!$M$5:$O$192,2,TRUE)</f>
        <v>'|</v>
      </c>
      <c r="T66" s="117">
        <f>IF(ABS(D66-VLOOKUP($D66,Sheet1!$M$5:$T$192,8,TRUE))&lt;10^-10,"SoCA",D66-VLOOKUP($D66,Sheet1!$M$5:$T$192,8,TRUE))</f>
        <v>-5.0409963102516775E-2</v>
      </c>
      <c r="U66" s="109" t="str">
        <f>IF(VLOOKUP($D66,Sheet1!$M$5:$U$192,9,TRUE)=0,"",IF(ABS(D66-VLOOKUP($D66,Sheet1!$M$5:$U$192,9,TRUE))&lt;10^-10,"Alt.",D66-VLOOKUP($D66,Sheet1!$M$5:$U$192,9,TRUE)))</f>
        <v/>
      </c>
      <c r="V66" s="132">
        <f>$D66-Sheet1!$M$3*$R66</f>
        <v>-4.8363098905900959E-2</v>
      </c>
      <c r="Z66" s="6"/>
      <c r="AA66" s="61"/>
    </row>
    <row r="67" spans="1:27" ht="13.5">
      <c r="A67" t="s">
        <v>534</v>
      </c>
      <c r="B67">
        <v>68641485507</v>
      </c>
      <c r="C67">
        <v>68719476736</v>
      </c>
      <c r="D67" s="13">
        <f t="shared" ref="D67:D98" si="2">1200*LN($C67/$B67)/LN(2)</f>
        <v>1.965930981813814</v>
      </c>
      <c r="E67" s="61">
        <v>7</v>
      </c>
      <c r="F67" s="65">
        <v>210.78910028111693</v>
      </c>
      <c r="G67" s="6">
        <v>404</v>
      </c>
      <c r="H67" s="6">
        <v>377</v>
      </c>
      <c r="I67" s="65">
        <v>-5.1210495328267891</v>
      </c>
      <c r="J67" s="6">
        <f>VLOOKUP($D67,Sheet1!$A$5:$C$192,3,TRUE)</f>
        <v>0</v>
      </c>
      <c r="K67" s="42" t="str">
        <f>VLOOKUP($D67,Sheet1!$A$5:$C$192,2,TRUE)</f>
        <v/>
      </c>
      <c r="L67" s="6">
        <f>FLOOR(VLOOKUP($D67,Sheet1!$D$5:$F$192,3,TRUE),1)</f>
        <v>1</v>
      </c>
      <c r="M67" s="42" t="str">
        <f>VLOOKUP($D67,Sheet1!$D$5:$F$192,2,TRUE)</f>
        <v>)|</v>
      </c>
      <c r="N67" s="23">
        <f>FLOOR(VLOOKUP($D67,Sheet1!$G$5:$I$192,3,TRUE),1)</f>
        <v>1</v>
      </c>
      <c r="O67" s="42" t="str">
        <f>VLOOKUP($D67,Sheet1!$G$5:$I$192,2,TRUE)</f>
        <v>'|</v>
      </c>
      <c r="P67" s="23">
        <v>1</v>
      </c>
      <c r="Q67" s="43" t="str">
        <f>VLOOKUP($D67,Sheet1!$J$5:$L$192,2,TRUE)</f>
        <v>'|</v>
      </c>
      <c r="R67" s="23">
        <f>FLOOR(VLOOKUP($D67,Sheet1!$M$5:$O$192,3,TRUE),1)</f>
        <v>4</v>
      </c>
      <c r="S67" s="42" t="str">
        <f>VLOOKUP($D67,Sheet1!$M$5:$O$192,2,TRUE)</f>
        <v>'|</v>
      </c>
      <c r="T67" s="117">
        <f>IF(ABS(D67-VLOOKUP($D67,Sheet1!$M$5:$T$192,8,TRUE))&lt;10^-10,"SoCA",D67-VLOOKUP($D67,Sheet1!$M$5:$T$192,8,TRUE))</f>
        <v>1.2210193879654385E-2</v>
      </c>
      <c r="U67" s="109" t="str">
        <f>IF(VLOOKUP($D67,Sheet1!$M$5:$U$192,9,TRUE)=0,"",IF(ABS(D67-VLOOKUP($D67,Sheet1!$M$5:$U$192,9,TRUE))&lt;10^-10,"Alt.",D67-VLOOKUP($D67,Sheet1!$M$5:$U$192,9,TRUE)))</f>
        <v/>
      </c>
      <c r="V67" s="132">
        <f>$D67-Sheet1!$M$3*$R67</f>
        <v>1.4257058076270201E-2</v>
      </c>
      <c r="Z67" s="6"/>
      <c r="AA67" s="61"/>
    </row>
    <row r="68" spans="1:27" ht="13.5">
      <c r="A68" t="s">
        <v>748</v>
      </c>
      <c r="B68">
        <v>2497</v>
      </c>
      <c r="C68">
        <v>2500</v>
      </c>
      <c r="D68" s="13">
        <f t="shared" si="2"/>
        <v>2.0787283454845631</v>
      </c>
      <c r="E68" s="61" t="s">
        <v>1931</v>
      </c>
      <c r="F68" s="65">
        <v>361.23214366325118</v>
      </c>
      <c r="G68" s="6">
        <v>708</v>
      </c>
      <c r="H68" s="6">
        <v>593</v>
      </c>
      <c r="I68" s="65">
        <v>-0.12799487745116633</v>
      </c>
      <c r="J68" s="6">
        <f>VLOOKUP($D68,Sheet1!$A$5:$C$192,3,TRUE)</f>
        <v>0</v>
      </c>
      <c r="K68" s="42" t="str">
        <f>VLOOKUP($D68,Sheet1!$A$5:$C$192,2,TRUE)</f>
        <v/>
      </c>
      <c r="L68" s="6">
        <f>FLOOR(VLOOKUP($D68,Sheet1!$D$5:$F$192,3,TRUE),1)</f>
        <v>1</v>
      </c>
      <c r="M68" s="42" t="str">
        <f>VLOOKUP($D68,Sheet1!$D$5:$F$192,2,TRUE)</f>
        <v>)|</v>
      </c>
      <c r="N68" s="23">
        <f>FLOOR(VLOOKUP($D68,Sheet1!$G$5:$I$192,3,TRUE),1)</f>
        <v>1</v>
      </c>
      <c r="O68" s="42" t="str">
        <f>VLOOKUP($D68,Sheet1!$G$5:$I$192,2,TRUE)</f>
        <v>'|</v>
      </c>
      <c r="P68" s="23">
        <v>1</v>
      </c>
      <c r="Q68" s="43" t="str">
        <f>VLOOKUP($D68,Sheet1!$J$5:$L$192,2,TRUE)</f>
        <v>'|</v>
      </c>
      <c r="R68" s="23">
        <f>FLOOR(VLOOKUP($D68,Sheet1!$M$5:$O$192,3,TRUE),1)</f>
        <v>4</v>
      </c>
      <c r="S68" s="42" t="str">
        <f>VLOOKUP($D68,Sheet1!$M$5:$O$192,2,TRUE)</f>
        <v>'|</v>
      </c>
      <c r="T68" s="117">
        <f>IF(ABS(D68-VLOOKUP($D68,Sheet1!$M$5:$T$192,8,TRUE))&lt;10^-10,"SoCA",D68-VLOOKUP($D68,Sheet1!$M$5:$T$192,8,TRUE))</f>
        <v>0.12500755755040349</v>
      </c>
      <c r="U68" s="109" t="str">
        <f>IF(VLOOKUP($D68,Sheet1!$M$5:$U$192,9,TRUE)=0,"",IF(ABS(D68-VLOOKUP($D68,Sheet1!$M$5:$U$192,9,TRUE))&lt;10^-10,"Alt.",D68-VLOOKUP($D68,Sheet1!$M$5:$U$192,9,TRUE)))</f>
        <v/>
      </c>
      <c r="V68" s="132">
        <f>$D68-Sheet1!$M$3*$R68</f>
        <v>0.12705442174701931</v>
      </c>
      <c r="Z68" s="6"/>
      <c r="AA68" s="61"/>
    </row>
    <row r="69" spans="1:27" ht="13.5">
      <c r="A69" t="s">
        <v>1310</v>
      </c>
      <c r="B69">
        <v>455104</v>
      </c>
      <c r="C69">
        <v>455625</v>
      </c>
      <c r="D69" s="13">
        <f t="shared" si="2"/>
        <v>1.9807715312853176</v>
      </c>
      <c r="E69" s="61" t="s">
        <v>1931</v>
      </c>
      <c r="F69" s="65">
        <v>814.15965453049841</v>
      </c>
      <c r="G69" s="6">
        <v>1218</v>
      </c>
      <c r="H69" s="6">
        <v>1159</v>
      </c>
      <c r="I69" s="65">
        <v>5.8780366804751853</v>
      </c>
      <c r="J69" s="6">
        <f>VLOOKUP($D69,Sheet1!$A$5:$C$192,3,TRUE)</f>
        <v>0</v>
      </c>
      <c r="K69" s="42" t="str">
        <f>VLOOKUP($D69,Sheet1!$A$5:$C$192,2,TRUE)</f>
        <v/>
      </c>
      <c r="L69" s="6">
        <f>FLOOR(VLOOKUP($D69,Sheet1!$D$5:$F$192,3,TRUE),1)</f>
        <v>1</v>
      </c>
      <c r="M69" s="42" t="str">
        <f>VLOOKUP($D69,Sheet1!$D$5:$F$192,2,TRUE)</f>
        <v>)|</v>
      </c>
      <c r="N69" s="23">
        <f>FLOOR(VLOOKUP($D69,Sheet1!$G$5:$I$192,3,TRUE),1)</f>
        <v>1</v>
      </c>
      <c r="O69" s="42" t="str">
        <f>VLOOKUP($D69,Sheet1!$G$5:$I$192,2,TRUE)</f>
        <v>'|</v>
      </c>
      <c r="P69" s="23">
        <v>1</v>
      </c>
      <c r="Q69" s="43" t="str">
        <f>VLOOKUP($D69,Sheet1!$J$5:$L$192,2,TRUE)</f>
        <v>'|</v>
      </c>
      <c r="R69" s="23">
        <f>FLOOR(VLOOKUP($D69,Sheet1!$M$5:$O$192,3,TRUE),1)</f>
        <v>4</v>
      </c>
      <c r="S69" s="42" t="str">
        <f>VLOOKUP($D69,Sheet1!$M$5:$O$192,2,TRUE)</f>
        <v>'|</v>
      </c>
      <c r="T69" s="117">
        <f>IF(ABS(D69-VLOOKUP($D69,Sheet1!$M$5:$T$192,8,TRUE))&lt;10^-10,"SoCA",D69-VLOOKUP($D69,Sheet1!$M$5:$T$192,8,TRUE))</f>
        <v>2.705074335115798E-2</v>
      </c>
      <c r="U69" s="109" t="str">
        <f>IF(VLOOKUP($D69,Sheet1!$M$5:$U$192,9,TRUE)=0,"",IF(ABS(D69-VLOOKUP($D69,Sheet1!$M$5:$U$192,9,TRUE))&lt;10^-10,"Alt.",D69-VLOOKUP($D69,Sheet1!$M$5:$U$192,9,TRUE)))</f>
        <v/>
      </c>
      <c r="V69" s="132">
        <f>$D69-Sheet1!$M$3*$R69</f>
        <v>2.9097607547773796E-2</v>
      </c>
      <c r="Z69" s="6"/>
      <c r="AA69" s="61"/>
    </row>
    <row r="70" spans="1:27" ht="13.5">
      <c r="A70" s="6" t="s">
        <v>1830</v>
      </c>
      <c r="B70">
        <v>987496448</v>
      </c>
      <c r="C70">
        <v>988657407</v>
      </c>
      <c r="D70" s="13">
        <f t="shared" si="2"/>
        <v>2.0341452428058906</v>
      </c>
      <c r="E70" s="61" t="s">
        <v>1931</v>
      </c>
      <c r="F70" s="65">
        <v>9447.1418526437919</v>
      </c>
      <c r="G70" s="59">
        <v>1589</v>
      </c>
      <c r="H70" s="63">
        <v>1000035</v>
      </c>
      <c r="I70" s="65">
        <v>10.874750266605846</v>
      </c>
      <c r="J70" s="6">
        <f>VLOOKUP($D70,Sheet1!$A$5:$C$192,3,TRUE)</f>
        <v>0</v>
      </c>
      <c r="K70" s="42" t="str">
        <f>VLOOKUP($D70,Sheet1!$A$5:$C$192,2,TRUE)</f>
        <v/>
      </c>
      <c r="L70" s="6">
        <f>FLOOR(VLOOKUP($D70,Sheet1!$D$5:$F$192,3,TRUE),1)</f>
        <v>1</v>
      </c>
      <c r="M70" s="42" t="str">
        <f>VLOOKUP($D70,Sheet1!$D$5:$F$192,2,TRUE)</f>
        <v>)|</v>
      </c>
      <c r="N70" s="23">
        <f>FLOOR(VLOOKUP($D70,Sheet1!$G$5:$I$192,3,TRUE),1)</f>
        <v>1</v>
      </c>
      <c r="O70" s="42" t="str">
        <f>VLOOKUP($D70,Sheet1!$G$5:$I$192,2,TRUE)</f>
        <v>'|</v>
      </c>
      <c r="P70" s="23">
        <v>1</v>
      </c>
      <c r="Q70" s="43" t="str">
        <f>VLOOKUP($D70,Sheet1!$J$5:$L$192,2,TRUE)</f>
        <v>'|</v>
      </c>
      <c r="R70" s="23">
        <f>FLOOR(VLOOKUP($D70,Sheet1!$M$5:$O$192,3,TRUE),1)</f>
        <v>4</v>
      </c>
      <c r="S70" s="42" t="str">
        <f>VLOOKUP($D70,Sheet1!$M$5:$O$192,2,TRUE)</f>
        <v>'|</v>
      </c>
      <c r="T70" s="117">
        <f>IF(ABS(D70-VLOOKUP($D70,Sheet1!$M$5:$T$192,8,TRUE))&lt;10^-10,"SoCA",D70-VLOOKUP($D70,Sheet1!$M$5:$T$192,8,TRUE))</f>
        <v>8.0424454871730999E-2</v>
      </c>
      <c r="U70" s="109" t="str">
        <f>IF(VLOOKUP($D70,Sheet1!$M$5:$U$192,9,TRUE)=0,"",IF(ABS(D70-VLOOKUP($D70,Sheet1!$M$5:$U$192,9,TRUE))&lt;10^-10,"Alt.",D70-VLOOKUP($D70,Sheet1!$M$5:$U$192,9,TRUE)))</f>
        <v/>
      </c>
      <c r="V70" s="132">
        <f>$D70-Sheet1!$M$3*$R70</f>
        <v>8.2471319068346816E-2</v>
      </c>
      <c r="Z70" s="6"/>
      <c r="AA70" s="61"/>
    </row>
    <row r="71" spans="1:27" ht="13.5">
      <c r="A71" t="s">
        <v>812</v>
      </c>
      <c r="B71">
        <v>6274772</v>
      </c>
      <c r="C71">
        <v>6281925</v>
      </c>
      <c r="D71" s="13">
        <f t="shared" si="2"/>
        <v>1.9724165507046352</v>
      </c>
      <c r="E71" s="61" t="s">
        <v>1931</v>
      </c>
      <c r="F71" s="65">
        <v>10760.494865297745</v>
      </c>
      <c r="G71" s="6">
        <v>687</v>
      </c>
      <c r="H71" s="6">
        <v>659</v>
      </c>
      <c r="I71" s="65">
        <v>0.87855112706838934</v>
      </c>
      <c r="J71" s="6">
        <f>VLOOKUP($D71,Sheet1!$A$5:$C$192,3,TRUE)</f>
        <v>0</v>
      </c>
      <c r="K71" s="42" t="str">
        <f>VLOOKUP($D71,Sheet1!$A$5:$C$192,2,TRUE)</f>
        <v/>
      </c>
      <c r="L71" s="6">
        <f>FLOOR(VLOOKUP($D71,Sheet1!$D$5:$F$192,3,TRUE),1)</f>
        <v>1</v>
      </c>
      <c r="M71" s="42" t="str">
        <f>VLOOKUP($D71,Sheet1!$D$5:$F$192,2,TRUE)</f>
        <v>)|</v>
      </c>
      <c r="N71" s="23">
        <f>FLOOR(VLOOKUP($D71,Sheet1!$G$5:$I$192,3,TRUE),1)</f>
        <v>1</v>
      </c>
      <c r="O71" s="42" t="str">
        <f>VLOOKUP($D71,Sheet1!$G$5:$I$192,2,TRUE)</f>
        <v>'|</v>
      </c>
      <c r="P71" s="23">
        <v>1</v>
      </c>
      <c r="Q71" s="43" t="str">
        <f>VLOOKUP($D71,Sheet1!$J$5:$L$192,2,TRUE)</f>
        <v>'|</v>
      </c>
      <c r="R71" s="23">
        <f>FLOOR(VLOOKUP($D71,Sheet1!$M$5:$O$192,3,TRUE),1)</f>
        <v>4</v>
      </c>
      <c r="S71" s="42" t="str">
        <f>VLOOKUP($D71,Sheet1!$M$5:$O$192,2,TRUE)</f>
        <v>'|</v>
      </c>
      <c r="T71" s="117">
        <f>IF(ABS(D71-VLOOKUP($D71,Sheet1!$M$5:$T$192,8,TRUE))&lt;10^-10,"SoCA",D71-VLOOKUP($D71,Sheet1!$M$5:$T$192,8,TRUE))</f>
        <v>1.8695762770475577E-2</v>
      </c>
      <c r="U71" s="109" t="str">
        <f>IF(VLOOKUP($D71,Sheet1!$M$5:$U$192,9,TRUE)=0,"",IF(ABS(D71-VLOOKUP($D71,Sheet1!$M$5:$U$192,9,TRUE))&lt;10^-10,"Alt.",D71-VLOOKUP($D71,Sheet1!$M$5:$U$192,9,TRUE)))</f>
        <v/>
      </c>
      <c r="V71" s="132">
        <f>$D71-Sheet1!$M$3*$R71</f>
        <v>2.0742626967091393E-2</v>
      </c>
      <c r="Z71" s="6"/>
      <c r="AA71" s="61"/>
    </row>
    <row r="72" spans="1:27" ht="13.5">
      <c r="A72" t="s">
        <v>831</v>
      </c>
      <c r="B72">
        <v>6260466</v>
      </c>
      <c r="C72">
        <v>6267619</v>
      </c>
      <c r="D72" s="13">
        <f t="shared" si="2"/>
        <v>1.9769212131970253</v>
      </c>
      <c r="E72" s="61" t="s">
        <v>1931</v>
      </c>
      <c r="F72" s="65">
        <v>7311030.1823075367</v>
      </c>
      <c r="G72" s="6">
        <v>700</v>
      </c>
      <c r="H72" s="6">
        <v>678</v>
      </c>
      <c r="I72" s="65">
        <v>-1.1217262414126461</v>
      </c>
      <c r="J72" s="6">
        <f>VLOOKUP($D72,Sheet1!$A$5:$C$192,3,TRUE)</f>
        <v>0</v>
      </c>
      <c r="K72" s="42" t="str">
        <f>VLOOKUP($D72,Sheet1!$A$5:$C$192,2,TRUE)</f>
        <v/>
      </c>
      <c r="L72" s="6">
        <f>FLOOR(VLOOKUP($D72,Sheet1!$D$5:$F$192,3,TRUE),1)</f>
        <v>1</v>
      </c>
      <c r="M72" s="42" t="str">
        <f>VLOOKUP($D72,Sheet1!$D$5:$F$192,2,TRUE)</f>
        <v>)|</v>
      </c>
      <c r="N72" s="23">
        <f>FLOOR(VLOOKUP($D72,Sheet1!$G$5:$I$192,3,TRUE),1)</f>
        <v>1</v>
      </c>
      <c r="O72" s="42" t="str">
        <f>VLOOKUP($D72,Sheet1!$G$5:$I$192,2,TRUE)</f>
        <v>'|</v>
      </c>
      <c r="P72" s="23">
        <v>1</v>
      </c>
      <c r="Q72" s="43" t="str">
        <f>VLOOKUP($D72,Sheet1!$J$5:$L$192,2,TRUE)</f>
        <v>'|</v>
      </c>
      <c r="R72" s="23">
        <f>FLOOR(VLOOKUP($D72,Sheet1!$M$5:$O$192,3,TRUE),1)</f>
        <v>4</v>
      </c>
      <c r="S72" s="42" t="str">
        <f>VLOOKUP($D72,Sheet1!$M$5:$O$192,2,TRUE)</f>
        <v>'|</v>
      </c>
      <c r="T72" s="117">
        <f>IF(ABS(D72-VLOOKUP($D72,Sheet1!$M$5:$T$192,8,TRUE))&lt;10^-10,"SoCA",D72-VLOOKUP($D72,Sheet1!$M$5:$T$192,8,TRUE))</f>
        <v>2.3200425262865698E-2</v>
      </c>
      <c r="U72" s="109" t="str">
        <f>IF(VLOOKUP($D72,Sheet1!$M$5:$U$192,9,TRUE)=0,"",IF(ABS(D72-VLOOKUP($D72,Sheet1!$M$5:$U$192,9,TRUE))&lt;10^-10,"Alt.",D72-VLOOKUP($D72,Sheet1!$M$5:$U$192,9,TRUE)))</f>
        <v/>
      </c>
      <c r="V72" s="132">
        <f>$D72-Sheet1!$M$3*$R72</f>
        <v>2.5247289459481514E-2</v>
      </c>
      <c r="Z72" s="6"/>
      <c r="AA72" s="61"/>
    </row>
    <row r="73" spans="1:27" ht="13.5">
      <c r="A73" s="38" t="s">
        <v>290</v>
      </c>
      <c r="B73" s="38">
        <f>2^3*7*13</f>
        <v>728</v>
      </c>
      <c r="C73" s="38">
        <f>3^6</f>
        <v>729</v>
      </c>
      <c r="D73" s="13">
        <f t="shared" si="2"/>
        <v>2.3764369538889771</v>
      </c>
      <c r="E73" s="61">
        <v>13</v>
      </c>
      <c r="F73" s="65">
        <v>29.040145157810063</v>
      </c>
      <c r="G73" s="6">
        <v>120</v>
      </c>
      <c r="H73" s="6">
        <v>115</v>
      </c>
      <c r="I73" s="65">
        <v>5.853674118917862</v>
      </c>
      <c r="J73" s="6">
        <f>VLOOKUP($D73,Sheet1!$A$5:$C$192,3,TRUE)</f>
        <v>0</v>
      </c>
      <c r="K73" s="42" t="str">
        <f>VLOOKUP($D73,Sheet1!$A$5:$C$192,2,TRUE)</f>
        <v/>
      </c>
      <c r="L73" s="6">
        <f>FLOOR(VLOOKUP($D73,Sheet1!$D$5:$F$192,3,TRUE),1)</f>
        <v>1</v>
      </c>
      <c r="M73" s="42" t="str">
        <f>VLOOKUP($D73,Sheet1!$D$5:$F$192,2,TRUE)</f>
        <v>)|</v>
      </c>
      <c r="N73" s="23">
        <f>FLOOR(VLOOKUP($D73,Sheet1!$G$5:$I$192,3,TRUE),1)</f>
        <v>1</v>
      </c>
      <c r="O73" s="43" t="str">
        <f>VLOOKUP($D73,Sheet1!$G$5:$I$192,2,TRUE)</f>
        <v>'|</v>
      </c>
      <c r="P73" s="23">
        <v>1</v>
      </c>
      <c r="Q73" s="45" t="str">
        <f>VLOOKUP($D73,Sheet1!$J$5:$L$192,2,TRUE)</f>
        <v>'|'</v>
      </c>
      <c r="R73" s="38">
        <f>FLOOR(VLOOKUP($D73,Sheet1!$M$5:$O$192,3,TRUE),1)</f>
        <v>5</v>
      </c>
      <c r="S73" s="45" t="str">
        <f>VLOOKUP($D73,Sheet1!$M$5:$O$192,2,TRUE)</f>
        <v>'|'</v>
      </c>
      <c r="T73" s="112" t="str">
        <f>IF(ABS(D73-VLOOKUP($D73,Sheet1!$M$5:$T$192,8,TRUE))&lt;10^-10,"SoCA",D73-VLOOKUP($D73,Sheet1!$M$5:$T$192,8,TRUE))</f>
        <v>SoCA</v>
      </c>
      <c r="U73" s="108">
        <f>IF(VLOOKUP($D73,Sheet1!$M$5:$U$192,9,TRUE)=0,"",IF(ABS(D73-VLOOKUP($D73,Sheet1!$M$5:$U$192,9,TRUE))&lt;10^-10,"Alt.",D73-VLOOKUP($D73,Sheet1!$M$5:$U$192,9,TRUE)))</f>
        <v>2.6960295202427265E-2</v>
      </c>
      <c r="V73" s="133">
        <f>$D73-Sheet1!$M$3*$R73</f>
        <v>-6.3155450782952816E-2</v>
      </c>
      <c r="Z73" s="6"/>
      <c r="AA73" s="61"/>
    </row>
    <row r="74" spans="1:27" ht="13.5">
      <c r="A74" s="40" t="s">
        <v>16</v>
      </c>
      <c r="B74" s="40">
        <f>3^9</f>
        <v>19683</v>
      </c>
      <c r="C74" s="40">
        <f>2^8*7*11</f>
        <v>19712</v>
      </c>
      <c r="D74" s="13">
        <f t="shared" si="2"/>
        <v>2.5488410453947257</v>
      </c>
      <c r="E74" s="61">
        <v>11</v>
      </c>
      <c r="F74" s="65">
        <v>34.160085133354393</v>
      </c>
      <c r="G74" s="59">
        <v>83</v>
      </c>
      <c r="H74" s="59">
        <v>107</v>
      </c>
      <c r="I74" s="65">
        <v>-9.156941429098449</v>
      </c>
      <c r="J74" s="6">
        <f>VLOOKUP($D74,Sheet1!$A$5:$C$192,3,TRUE)</f>
        <v>0</v>
      </c>
      <c r="K74" s="42" t="str">
        <f>VLOOKUP($D74,Sheet1!$A$5:$C$192,2,TRUE)</f>
        <v/>
      </c>
      <c r="L74" s="6">
        <f>FLOOR(VLOOKUP($D74,Sheet1!$D$5:$F$192,3,TRUE),1)</f>
        <v>1</v>
      </c>
      <c r="M74" s="42" t="str">
        <f>VLOOKUP($D74,Sheet1!$D$5:$F$192,2,TRUE)</f>
        <v>)|</v>
      </c>
      <c r="N74" s="23">
        <f>FLOOR(VLOOKUP($D74,Sheet1!$G$5:$I$192,3,TRUE),1)</f>
        <v>1</v>
      </c>
      <c r="O74" s="42" t="str">
        <f>VLOOKUP($D74,Sheet1!$G$5:$I$192,2,TRUE)</f>
        <v>'|</v>
      </c>
      <c r="P74" s="23">
        <v>1</v>
      </c>
      <c r="Q74" s="43" t="str">
        <f>VLOOKUP($D74,Sheet1!$J$5:$L$192,2,TRUE)</f>
        <v>'|'</v>
      </c>
      <c r="R74" s="40">
        <f>FLOOR(VLOOKUP($D74,Sheet1!$M$5:$O$192,3,TRUE),1)</f>
        <v>5</v>
      </c>
      <c r="S74" s="46" t="str">
        <f>VLOOKUP($D74,Sheet1!$M$5:$O$192,2,TRUE)</f>
        <v>)|..</v>
      </c>
      <c r="T74" s="115">
        <f>IF(ABS(D74-VLOOKUP($D74,Sheet1!$M$5:$T$192,8,TRUE))&lt;10^-10,"SoCA",D74-VLOOKUP($D74,Sheet1!$M$5:$T$192,8,TRUE))</f>
        <v>3.3465210314789218E-3</v>
      </c>
      <c r="U74" s="115">
        <f>IF(VLOOKUP($D74,Sheet1!$M$5:$U$192,9,TRUE)=0,"",IF(ABS(D74-VLOOKUP($D74,Sheet1!$M$5:$U$192,9,TRUE))&lt;10^-10,"Alt.",D74-VLOOKUP($D74,Sheet1!$M$5:$U$192,9,TRUE)))</f>
        <v>-1.0705646362977994E-2</v>
      </c>
      <c r="V74" s="132">
        <f>$D74-Sheet1!$M$3*$R74</f>
        <v>0.10924864072279572</v>
      </c>
      <c r="Z74" s="6"/>
      <c r="AA74" s="61"/>
    </row>
    <row r="75" spans="1:27" ht="13.5">
      <c r="A75" t="s">
        <v>1398</v>
      </c>
      <c r="B75">
        <v>107008</v>
      </c>
      <c r="C75">
        <v>107163</v>
      </c>
      <c r="D75" s="13">
        <f t="shared" si="2"/>
        <v>2.5058604989026492</v>
      </c>
      <c r="E75" s="61">
        <v>19</v>
      </c>
      <c r="F75" s="65">
        <v>46.569961576922346</v>
      </c>
      <c r="G75" s="6">
        <v>1312</v>
      </c>
      <c r="H75" s="6">
        <v>1247</v>
      </c>
      <c r="I75" s="65">
        <v>6.8457050397357246</v>
      </c>
      <c r="J75" s="6">
        <f>VLOOKUP($D75,Sheet1!$A$5:$C$192,3,TRUE)</f>
        <v>0</v>
      </c>
      <c r="K75" s="42" t="str">
        <f>VLOOKUP($D75,Sheet1!$A$5:$C$192,2,TRUE)</f>
        <v/>
      </c>
      <c r="L75" s="6">
        <f>FLOOR(VLOOKUP($D75,Sheet1!$D$5:$F$192,3,TRUE),1)</f>
        <v>1</v>
      </c>
      <c r="M75" s="42" t="str">
        <f>VLOOKUP($D75,Sheet1!$D$5:$F$192,2,TRUE)</f>
        <v>)|</v>
      </c>
      <c r="N75" s="23">
        <f>FLOOR(VLOOKUP($D75,Sheet1!$G$5:$I$192,3,TRUE),1)</f>
        <v>1</v>
      </c>
      <c r="O75" s="42" t="str">
        <f>VLOOKUP($D75,Sheet1!$G$5:$I$192,2,TRUE)</f>
        <v>'|</v>
      </c>
      <c r="P75" s="23">
        <v>1</v>
      </c>
      <c r="Q75" s="43" t="str">
        <f>VLOOKUP($D75,Sheet1!$J$5:$L$192,2,TRUE)</f>
        <v>'|'</v>
      </c>
      <c r="R75" s="23">
        <f>FLOOR(VLOOKUP($D75,Sheet1!$M$5:$O$192,3,TRUE),1)</f>
        <v>5</v>
      </c>
      <c r="S75" s="42" t="str">
        <f>VLOOKUP($D75,Sheet1!$M$5:$O$192,2,TRUE)</f>
        <v>)|..</v>
      </c>
      <c r="T75" s="117">
        <f>IF(ABS(D75-VLOOKUP($D75,Sheet1!$M$5:$T$192,8,TRUE))&lt;10^-10,"SoCA",D75-VLOOKUP($D75,Sheet1!$M$5:$T$192,8,TRUE))</f>
        <v>-3.9634025460597577E-2</v>
      </c>
      <c r="U75" s="109">
        <f>IF(VLOOKUP($D75,Sheet1!$M$5:$U$192,9,TRUE)=0,"",IF(ABS(D75-VLOOKUP($D75,Sheet1!$M$5:$U$192,9,TRUE))&lt;10^-10,"Alt.",D75-VLOOKUP($D75,Sheet1!$M$5:$U$192,9,TRUE)))</f>
        <v>-5.3686192855054493E-2</v>
      </c>
      <c r="V75" s="132">
        <f>$D75-Sheet1!$M$3*$R75</f>
        <v>6.6268094230719221E-2</v>
      </c>
      <c r="Z75" s="6"/>
      <c r="AA75" s="61"/>
    </row>
    <row r="76" spans="1:27" ht="13.5">
      <c r="A76" t="s">
        <v>1644</v>
      </c>
      <c r="B76">
        <v>2617839</v>
      </c>
      <c r="C76">
        <v>2621440</v>
      </c>
      <c r="D76" s="13">
        <f t="shared" si="2"/>
        <v>2.3797834749203863</v>
      </c>
      <c r="E76" s="61">
        <v>19</v>
      </c>
      <c r="F76" s="65">
        <v>47.618243584115227</v>
      </c>
      <c r="G76" s="6">
        <v>1551</v>
      </c>
      <c r="H76" s="6">
        <v>1493</v>
      </c>
      <c r="I76" s="65">
        <v>-9.146531938574082</v>
      </c>
      <c r="J76" s="6">
        <f>VLOOKUP($D76,Sheet1!$A$5:$C$192,3,TRUE)</f>
        <v>0</v>
      </c>
      <c r="K76" s="42" t="str">
        <f>VLOOKUP($D76,Sheet1!$A$5:$C$192,2,TRUE)</f>
        <v/>
      </c>
      <c r="L76" s="6">
        <f>FLOOR(VLOOKUP($D76,Sheet1!$D$5:$F$192,3,TRUE),1)</f>
        <v>1</v>
      </c>
      <c r="M76" s="42" t="str">
        <f>VLOOKUP($D76,Sheet1!$D$5:$F$192,2,TRUE)</f>
        <v>)|</v>
      </c>
      <c r="N76" s="23">
        <f>FLOOR(VLOOKUP($D76,Sheet1!$G$5:$I$192,3,TRUE),1)</f>
        <v>1</v>
      </c>
      <c r="O76" s="42" t="str">
        <f>VLOOKUP($D76,Sheet1!$G$5:$I$192,2,TRUE)</f>
        <v>'|</v>
      </c>
      <c r="P76" s="23">
        <v>1</v>
      </c>
      <c r="Q76" s="43" t="str">
        <f>VLOOKUP($D76,Sheet1!$J$5:$L$192,2,TRUE)</f>
        <v>'|'</v>
      </c>
      <c r="R76" s="23">
        <f>FLOOR(VLOOKUP($D76,Sheet1!$M$5:$O$192,3,TRUE),1)</f>
        <v>5</v>
      </c>
      <c r="S76" s="42" t="str">
        <f>VLOOKUP($D76,Sheet1!$M$5:$O$192,2,TRUE)</f>
        <v>'|'</v>
      </c>
      <c r="T76" s="117">
        <f>IF(ABS(D76-VLOOKUP($D76,Sheet1!$M$5:$T$192,8,TRUE))&lt;10^-10,"SoCA",D76-VLOOKUP($D76,Sheet1!$M$5:$T$192,8,TRUE))</f>
        <v>3.3465210314025384E-3</v>
      </c>
      <c r="U76" s="109">
        <f>IF(VLOOKUP($D76,Sheet1!$M$5:$U$192,9,TRUE)=0,"",IF(ABS(D76-VLOOKUP($D76,Sheet1!$M$5:$U$192,9,TRUE))&lt;10^-10,"Alt.",D76-VLOOKUP($D76,Sheet1!$M$5:$U$192,9,TRUE)))</f>
        <v>3.0306816233836464E-2</v>
      </c>
      <c r="V76" s="132">
        <f>$D76-Sheet1!$M$3*$R76</f>
        <v>-5.9808929751543616E-2</v>
      </c>
      <c r="Z76" s="6"/>
      <c r="AA76" s="61"/>
    </row>
    <row r="77" spans="1:27" ht="13.5">
      <c r="A77" t="s">
        <v>1037</v>
      </c>
      <c r="B77">
        <v>783</v>
      </c>
      <c r="C77">
        <v>784</v>
      </c>
      <c r="D77" s="13">
        <f t="shared" si="2"/>
        <v>2.2096161890009505</v>
      </c>
      <c r="E77" s="61">
        <v>29</v>
      </c>
      <c r="F77" s="65">
        <v>51.77655100752277</v>
      </c>
      <c r="G77" s="6">
        <v>957</v>
      </c>
      <c r="H77" s="6">
        <v>885</v>
      </c>
      <c r="I77" s="65">
        <v>-3.1360541188268463</v>
      </c>
      <c r="J77" s="6">
        <f>VLOOKUP($D77,Sheet1!$A$5:$C$192,3,TRUE)</f>
        <v>0</v>
      </c>
      <c r="K77" s="42" t="str">
        <f>VLOOKUP($D77,Sheet1!$A$5:$C$192,2,TRUE)</f>
        <v/>
      </c>
      <c r="L77" s="6">
        <f>FLOOR(VLOOKUP($D77,Sheet1!$D$5:$F$192,3,TRUE),1)</f>
        <v>1</v>
      </c>
      <c r="M77" s="42" t="str">
        <f>VLOOKUP($D77,Sheet1!$D$5:$F$192,2,TRUE)</f>
        <v>)|</v>
      </c>
      <c r="N77" s="23">
        <f>FLOOR(VLOOKUP($D77,Sheet1!$G$5:$I$192,3,TRUE),1)</f>
        <v>1</v>
      </c>
      <c r="O77" s="42" t="str">
        <f>VLOOKUP($D77,Sheet1!$G$5:$I$192,2,TRUE)</f>
        <v>'|</v>
      </c>
      <c r="P77" s="23">
        <v>1</v>
      </c>
      <c r="Q77" s="43" t="str">
        <f>VLOOKUP($D77,Sheet1!$J$5:$L$192,2,TRUE)</f>
        <v>'|'</v>
      </c>
      <c r="R77" s="23">
        <f>FLOOR(VLOOKUP($D77,Sheet1!$M$5:$O$192,3,TRUE),1)</f>
        <v>5</v>
      </c>
      <c r="S77" s="42" t="str">
        <f>VLOOKUP($D77,Sheet1!$M$5:$O$192,2,TRUE)</f>
        <v>'|'</v>
      </c>
      <c r="T77" s="117">
        <f>IF(ABS(D77-VLOOKUP($D77,Sheet1!$M$5:$T$192,8,TRUE))&lt;10^-10,"SoCA",D77-VLOOKUP($D77,Sheet1!$M$5:$T$192,8,TRUE))</f>
        <v>-0.16682076488803332</v>
      </c>
      <c r="U77" s="109">
        <f>IF(VLOOKUP($D77,Sheet1!$M$5:$U$192,9,TRUE)=0,"",IF(ABS(D77-VLOOKUP($D77,Sheet1!$M$5:$U$192,9,TRUE))&lt;10^-10,"Alt.",D77-VLOOKUP($D77,Sheet1!$M$5:$U$192,9,TRUE)))</f>
        <v>-0.1398604696855994</v>
      </c>
      <c r="V77" s="132">
        <f>$D77-Sheet1!$M$3*$R77</f>
        <v>-0.22997621567097948</v>
      </c>
      <c r="Z77" s="6"/>
      <c r="AA77" s="61"/>
    </row>
    <row r="78" spans="1:27" ht="13.5">
      <c r="A78" s="6" t="s">
        <v>482</v>
      </c>
      <c r="B78" s="6">
        <f>2^20*5</f>
        <v>5242880</v>
      </c>
      <c r="C78" s="6">
        <f>3^7*7^4</f>
        <v>5250987</v>
      </c>
      <c r="D78" s="13">
        <f t="shared" si="2"/>
        <v>2.6749180693766692</v>
      </c>
      <c r="E78" s="61">
        <v>7</v>
      </c>
      <c r="F78" s="65">
        <v>55.178393996342592</v>
      </c>
      <c r="G78" s="6">
        <v>319</v>
      </c>
      <c r="H78" s="6">
        <v>321</v>
      </c>
      <c r="I78" s="65">
        <v>6.8352955492113772</v>
      </c>
      <c r="J78" s="6">
        <f>VLOOKUP($D78,Sheet1!$A$5:$C$192,3,TRUE)</f>
        <v>0</v>
      </c>
      <c r="K78" s="42" t="str">
        <f>VLOOKUP($D78,Sheet1!$A$5:$C$192,2,TRUE)</f>
        <v/>
      </c>
      <c r="L78" s="6">
        <f>FLOOR(VLOOKUP($D78,Sheet1!$D$5:$F$192,3,TRUE),1)</f>
        <v>1</v>
      </c>
      <c r="M78" s="42" t="str">
        <f>VLOOKUP($D78,Sheet1!$D$5:$F$192,2,TRUE)</f>
        <v>)|</v>
      </c>
      <c r="N78" s="23">
        <f>FLOOR(VLOOKUP($D78,Sheet1!$G$5:$I$192,3,TRUE),1)</f>
        <v>1</v>
      </c>
      <c r="O78" s="42" t="str">
        <f>VLOOKUP($D78,Sheet1!$G$5:$I$192,2,TRUE)</f>
        <v>'|</v>
      </c>
      <c r="P78" s="23">
        <v>1</v>
      </c>
      <c r="Q78" s="43" t="str">
        <f>VLOOKUP($D78,Sheet1!$J$5:$L$192,2,TRUE)</f>
        <v>'|'</v>
      </c>
      <c r="R78" s="23">
        <f>FLOOR(VLOOKUP($D78,Sheet1!$M$5:$O$192,3,TRUE),1)</f>
        <v>5</v>
      </c>
      <c r="S78" s="42" t="str">
        <f>VLOOKUP($D78,Sheet1!$M$5:$O$192,2,TRUE)</f>
        <v>)|..</v>
      </c>
      <c r="T78" s="117">
        <f>IF(ABS(D78-VLOOKUP($D78,Sheet1!$M$5:$T$192,8,TRUE))&lt;10^-10,"SoCA",D78-VLOOKUP($D78,Sheet1!$M$5:$T$192,8,TRUE))</f>
        <v>0.12942354501342246</v>
      </c>
      <c r="U78" s="109">
        <f>IF(VLOOKUP($D78,Sheet1!$M$5:$U$192,9,TRUE)=0,"",IF(ABS(D78-VLOOKUP($D78,Sheet1!$M$5:$U$192,9,TRUE))&lt;10^-10,"Alt.",D78-VLOOKUP($D78,Sheet1!$M$5:$U$192,9,TRUE)))</f>
        <v>0.11537137761896554</v>
      </c>
      <c r="V78" s="132">
        <f>$D78-Sheet1!$M$3*$R78</f>
        <v>0.23532566470473926</v>
      </c>
      <c r="Z78" s="6"/>
      <c r="AA78" s="61"/>
    </row>
    <row r="79" spans="1:27" ht="13.5">
      <c r="A79" s="6" t="s">
        <v>805</v>
      </c>
      <c r="B79" s="6">
        <f>2^16</f>
        <v>65536</v>
      </c>
      <c r="C79" s="6">
        <f>3*5^5*7</f>
        <v>65625</v>
      </c>
      <c r="D79" s="13">
        <f t="shared" si="2"/>
        <v>2.349476658686434</v>
      </c>
      <c r="E79" s="61">
        <v>7</v>
      </c>
      <c r="F79" s="65">
        <v>70.43710248409181</v>
      </c>
      <c r="G79" s="6">
        <v>683</v>
      </c>
      <c r="H79" s="6">
        <v>651</v>
      </c>
      <c r="I79" s="65">
        <v>0.85533416251518612</v>
      </c>
      <c r="J79" s="6">
        <f>VLOOKUP($D79,Sheet1!$A$5:$C$192,3,TRUE)</f>
        <v>0</v>
      </c>
      <c r="K79" s="42" t="str">
        <f>VLOOKUP($D79,Sheet1!$A$5:$C$192,2,TRUE)</f>
        <v/>
      </c>
      <c r="L79" s="6">
        <f>FLOOR(VLOOKUP($D79,Sheet1!$D$5:$F$192,3,TRUE),1)</f>
        <v>1</v>
      </c>
      <c r="M79" s="42" t="str">
        <f>VLOOKUP($D79,Sheet1!$D$5:$F$192,2,TRUE)</f>
        <v>)|</v>
      </c>
      <c r="N79" s="23">
        <f>FLOOR(VLOOKUP($D79,Sheet1!$G$5:$I$192,3,TRUE),1)</f>
        <v>1</v>
      </c>
      <c r="O79" s="42" t="str">
        <f>VLOOKUP($D79,Sheet1!$G$5:$I$192,2,TRUE)</f>
        <v>'|</v>
      </c>
      <c r="P79" s="23">
        <v>1</v>
      </c>
      <c r="Q79" s="43" t="str">
        <f>VLOOKUP($D79,Sheet1!$J$5:$L$192,2,TRUE)</f>
        <v>'|'</v>
      </c>
      <c r="R79" s="23">
        <f>FLOOR(VLOOKUP($D79,Sheet1!$M$5:$O$192,3,TRUE),1)</f>
        <v>5</v>
      </c>
      <c r="S79" s="42" t="str">
        <f>VLOOKUP($D79,Sheet1!$M$5:$O$192,2,TRUE)</f>
        <v>'|'</v>
      </c>
      <c r="T79" s="117">
        <f>IF(ABS(D79-VLOOKUP($D79,Sheet1!$M$5:$T$192,8,TRUE))&lt;10^-10,"SoCA",D79-VLOOKUP($D79,Sheet1!$M$5:$T$192,8,TRUE))</f>
        <v>-2.6960295202549833E-2</v>
      </c>
      <c r="U79" s="125" t="str">
        <f>IF(VLOOKUP($D79,Sheet1!$M$5:$U$192,9,TRUE)=0,"",IF(ABS(D79-VLOOKUP($D79,Sheet1!$M$5:$U$192,9,TRUE))&lt;10^-10,"Alt.",D79-VLOOKUP($D79,Sheet1!$M$5:$U$192,9,TRUE)))</f>
        <v>Alt.</v>
      </c>
      <c r="V79" s="132">
        <f>$D79-Sheet1!$M$3*$R79</f>
        <v>-9.0115745985495987E-2</v>
      </c>
      <c r="Z79" s="6"/>
      <c r="AA79" s="61"/>
    </row>
    <row r="80" spans="1:27" ht="13.5">
      <c r="A80" t="s">
        <v>807</v>
      </c>
      <c r="B80">
        <v>749</v>
      </c>
      <c r="C80">
        <v>750</v>
      </c>
      <c r="D80" s="13">
        <f t="shared" si="2"/>
        <v>2.3098523093906316</v>
      </c>
      <c r="E80" s="61" t="s">
        <v>1931</v>
      </c>
      <c r="F80" s="65">
        <v>154.85133546047874</v>
      </c>
      <c r="G80" s="6">
        <v>684</v>
      </c>
      <c r="H80" s="6">
        <v>653</v>
      </c>
      <c r="I80" s="65">
        <v>0.85777397806069267</v>
      </c>
      <c r="J80" s="6">
        <f>VLOOKUP($D80,Sheet1!$A$5:$C$192,3,TRUE)</f>
        <v>0</v>
      </c>
      <c r="K80" s="42" t="str">
        <f>VLOOKUP($D80,Sheet1!$A$5:$C$192,2,TRUE)</f>
        <v/>
      </c>
      <c r="L80" s="6">
        <f>FLOOR(VLOOKUP($D80,Sheet1!$D$5:$F$192,3,TRUE),1)</f>
        <v>1</v>
      </c>
      <c r="M80" s="42" t="str">
        <f>VLOOKUP($D80,Sheet1!$D$5:$F$192,2,TRUE)</f>
        <v>)|</v>
      </c>
      <c r="N80" s="23">
        <f>FLOOR(VLOOKUP($D80,Sheet1!$G$5:$I$192,3,TRUE),1)</f>
        <v>1</v>
      </c>
      <c r="O80" s="42" t="str">
        <f>VLOOKUP($D80,Sheet1!$G$5:$I$192,2,TRUE)</f>
        <v>'|</v>
      </c>
      <c r="P80" s="23">
        <v>1</v>
      </c>
      <c r="Q80" s="43" t="str">
        <f>VLOOKUP($D80,Sheet1!$J$5:$L$192,2,TRUE)</f>
        <v>'|'</v>
      </c>
      <c r="R80" s="23">
        <f>FLOOR(VLOOKUP($D80,Sheet1!$M$5:$O$192,3,TRUE),1)</f>
        <v>5</v>
      </c>
      <c r="S80" s="42" t="str">
        <f>VLOOKUP($D80,Sheet1!$M$5:$O$192,2,TRUE)</f>
        <v>'|'</v>
      </c>
      <c r="T80" s="117">
        <f>IF(ABS(D80-VLOOKUP($D80,Sheet1!$M$5:$T$192,8,TRUE))&lt;10^-10,"SoCA",D80-VLOOKUP($D80,Sheet1!$M$5:$T$192,8,TRUE))</f>
        <v>-6.6584644498352219E-2</v>
      </c>
      <c r="U80" s="109">
        <f>IF(VLOOKUP($D80,Sheet1!$M$5:$U$192,9,TRUE)=0,"",IF(ABS(D80-VLOOKUP($D80,Sheet1!$M$5:$U$192,9,TRUE))&lt;10^-10,"Alt.",D80-VLOOKUP($D80,Sheet1!$M$5:$U$192,9,TRUE)))</f>
        <v>-3.9624349295918293E-2</v>
      </c>
      <c r="V80" s="132">
        <f>$D80-Sheet1!$M$3*$R80</f>
        <v>-0.12974009528129837</v>
      </c>
      <c r="Z80" s="6"/>
      <c r="AA80" s="61"/>
    </row>
    <row r="81" spans="1:27" ht="13.5">
      <c r="A81" t="s">
        <v>799</v>
      </c>
      <c r="B81">
        <v>4544</v>
      </c>
      <c r="C81">
        <v>4551</v>
      </c>
      <c r="D81" s="13">
        <f t="shared" si="2"/>
        <v>2.6649017562091468</v>
      </c>
      <c r="E81" s="61" t="s">
        <v>1931</v>
      </c>
      <c r="F81" s="65">
        <v>178.85245387440727</v>
      </c>
      <c r="G81" s="6">
        <v>679</v>
      </c>
      <c r="H81" s="6">
        <v>645</v>
      </c>
      <c r="I81" s="65">
        <v>0.83591229010451729</v>
      </c>
      <c r="J81" s="6">
        <f>VLOOKUP($D81,Sheet1!$A$5:$C$192,3,TRUE)</f>
        <v>0</v>
      </c>
      <c r="K81" s="42" t="str">
        <f>VLOOKUP($D81,Sheet1!$A$5:$C$192,2,TRUE)</f>
        <v/>
      </c>
      <c r="L81" s="6">
        <f>FLOOR(VLOOKUP($D81,Sheet1!$D$5:$F$192,3,TRUE),1)</f>
        <v>1</v>
      </c>
      <c r="M81" s="42" t="str">
        <f>VLOOKUP($D81,Sheet1!$D$5:$F$192,2,TRUE)</f>
        <v>)|</v>
      </c>
      <c r="N81" s="23">
        <f>FLOOR(VLOOKUP($D81,Sheet1!$G$5:$I$192,3,TRUE),1)</f>
        <v>1</v>
      </c>
      <c r="O81" s="42" t="str">
        <f>VLOOKUP($D81,Sheet1!$G$5:$I$192,2,TRUE)</f>
        <v>'|</v>
      </c>
      <c r="P81" s="23">
        <v>1</v>
      </c>
      <c r="Q81" s="43" t="str">
        <f>VLOOKUP($D81,Sheet1!$J$5:$L$192,2,TRUE)</f>
        <v>'|'</v>
      </c>
      <c r="R81" s="23">
        <f>FLOOR(VLOOKUP($D81,Sheet1!$M$5:$O$192,3,TRUE),1)</f>
        <v>5</v>
      </c>
      <c r="S81" s="42" t="str">
        <f>VLOOKUP($D81,Sheet1!$M$5:$O$192,2,TRUE)</f>
        <v>)|..</v>
      </c>
      <c r="T81" s="117">
        <f>IF(ABS(D81-VLOOKUP($D81,Sheet1!$M$5:$T$192,8,TRUE))&lt;10^-10,"SoCA",D81-VLOOKUP($D81,Sheet1!$M$5:$T$192,8,TRUE))</f>
        <v>0.11940723184590007</v>
      </c>
      <c r="U81" s="109">
        <f>IF(VLOOKUP($D81,Sheet1!$M$5:$U$192,9,TRUE)=0,"",IF(ABS(D81-VLOOKUP($D81,Sheet1!$M$5:$U$192,9,TRUE))&lt;10^-10,"Alt.",D81-VLOOKUP($D81,Sheet1!$M$5:$U$192,9,TRUE)))</f>
        <v>0.10535506445144316</v>
      </c>
      <c r="V81" s="132">
        <f>$D81-Sheet1!$M$3*$R81</f>
        <v>0.22530935153721687</v>
      </c>
      <c r="Z81" s="6"/>
      <c r="AA81" s="61"/>
    </row>
    <row r="82" spans="1:27" ht="13.5">
      <c r="A82" t="s">
        <v>835</v>
      </c>
      <c r="B82">
        <v>723</v>
      </c>
      <c r="C82">
        <v>724</v>
      </c>
      <c r="D82" s="13">
        <f t="shared" si="2"/>
        <v>2.3928601585050635</v>
      </c>
      <c r="E82" s="61" t="s">
        <v>1931</v>
      </c>
      <c r="F82" s="65">
        <v>422.07043421333145</v>
      </c>
      <c r="G82" s="6">
        <v>702</v>
      </c>
      <c r="H82" s="6">
        <v>682</v>
      </c>
      <c r="I82" s="65">
        <v>-1.147337117623342</v>
      </c>
      <c r="J82" s="6">
        <f>VLOOKUP($D82,Sheet1!$A$5:$C$192,3,TRUE)</f>
        <v>0</v>
      </c>
      <c r="K82" s="42" t="str">
        <f>VLOOKUP($D82,Sheet1!$A$5:$C$192,2,TRUE)</f>
        <v/>
      </c>
      <c r="L82" s="6">
        <f>FLOOR(VLOOKUP($D82,Sheet1!$D$5:$F$192,3,TRUE),1)</f>
        <v>1</v>
      </c>
      <c r="M82" s="42" t="str">
        <f>VLOOKUP($D82,Sheet1!$D$5:$F$192,2,TRUE)</f>
        <v>)|</v>
      </c>
      <c r="N82" s="23">
        <f>FLOOR(VLOOKUP($D82,Sheet1!$G$5:$I$192,3,TRUE),1)</f>
        <v>1</v>
      </c>
      <c r="O82" s="42" t="str">
        <f>VLOOKUP($D82,Sheet1!$G$5:$I$192,2,TRUE)</f>
        <v>'|</v>
      </c>
      <c r="P82" s="23">
        <v>1</v>
      </c>
      <c r="Q82" s="43" t="str">
        <f>VLOOKUP($D82,Sheet1!$J$5:$L$192,2,TRUE)</f>
        <v>'|'</v>
      </c>
      <c r="R82" s="23">
        <f>FLOOR(VLOOKUP($D82,Sheet1!$M$5:$O$192,3,TRUE),1)</f>
        <v>5</v>
      </c>
      <c r="S82" s="42" t="str">
        <f>VLOOKUP($D82,Sheet1!$M$5:$O$192,2,TRUE)</f>
        <v>'|'</v>
      </c>
      <c r="T82" s="117">
        <f>IF(ABS(D82-VLOOKUP($D82,Sheet1!$M$5:$T$192,8,TRUE))&lt;10^-10,"SoCA",D82-VLOOKUP($D82,Sheet1!$M$5:$T$192,8,TRUE))</f>
        <v>1.6423204616079712E-2</v>
      </c>
      <c r="U82" s="109">
        <f>IF(VLOOKUP($D82,Sheet1!$M$5:$U$192,9,TRUE)=0,"",IF(ABS(D82-VLOOKUP($D82,Sheet1!$M$5:$U$192,9,TRUE))&lt;10^-10,"Alt.",D82-VLOOKUP($D82,Sheet1!$M$5:$U$192,9,TRUE)))</f>
        <v>4.3383499818513638E-2</v>
      </c>
      <c r="V82" s="132">
        <f>$D82-Sheet1!$M$3*$R82</f>
        <v>-4.6732246166866442E-2</v>
      </c>
      <c r="Z82" s="6"/>
      <c r="AA82" s="61"/>
    </row>
    <row r="83" spans="1:27" ht="13.5">
      <c r="A83" t="s">
        <v>1208</v>
      </c>
      <c r="B83">
        <v>151648</v>
      </c>
      <c r="C83">
        <v>151875</v>
      </c>
      <c r="D83" s="13">
        <f t="shared" si="2"/>
        <v>2.5895250271555148</v>
      </c>
      <c r="E83" s="61" t="s">
        <v>1931</v>
      </c>
      <c r="F83" s="65">
        <v>986.69892244988444</v>
      </c>
      <c r="G83" s="6">
        <v>1114</v>
      </c>
      <c r="H83" s="6">
        <v>1057</v>
      </c>
      <c r="I83" s="65">
        <v>4.8405535099247246</v>
      </c>
      <c r="J83" s="6">
        <f>VLOOKUP($D83,Sheet1!$A$5:$C$192,3,TRUE)</f>
        <v>0</v>
      </c>
      <c r="K83" s="42" t="str">
        <f>VLOOKUP($D83,Sheet1!$A$5:$C$192,2,TRUE)</f>
        <v/>
      </c>
      <c r="L83" s="6">
        <f>FLOOR(VLOOKUP($D83,Sheet1!$D$5:$F$192,3,TRUE),1)</f>
        <v>1</v>
      </c>
      <c r="M83" s="42" t="str">
        <f>VLOOKUP($D83,Sheet1!$D$5:$F$192,2,TRUE)</f>
        <v>)|</v>
      </c>
      <c r="N83" s="23">
        <f>FLOOR(VLOOKUP($D83,Sheet1!$G$5:$I$192,3,TRUE),1)</f>
        <v>1</v>
      </c>
      <c r="O83" s="42" t="str">
        <f>VLOOKUP($D83,Sheet1!$G$5:$I$192,2,TRUE)</f>
        <v>'|</v>
      </c>
      <c r="P83" s="23">
        <v>1</v>
      </c>
      <c r="Q83" s="43" t="str">
        <f>VLOOKUP($D83,Sheet1!$J$5:$L$192,2,TRUE)</f>
        <v>'|'</v>
      </c>
      <c r="R83" s="23">
        <f>FLOOR(VLOOKUP($D83,Sheet1!$M$5:$O$192,3,TRUE),1)</f>
        <v>5</v>
      </c>
      <c r="S83" s="42" t="str">
        <f>VLOOKUP($D83,Sheet1!$M$5:$O$192,2,TRUE)</f>
        <v>)|..</v>
      </c>
      <c r="T83" s="117">
        <f>IF(ABS(D83-VLOOKUP($D83,Sheet1!$M$5:$T$192,8,TRUE))&lt;10^-10,"SoCA",D83-VLOOKUP($D83,Sheet1!$M$5:$T$192,8,TRUE))</f>
        <v>4.4030502792268056E-2</v>
      </c>
      <c r="U83" s="109">
        <f>IF(VLOOKUP($D83,Sheet1!$M$5:$U$192,9,TRUE)=0,"",IF(ABS(D83-VLOOKUP($D83,Sheet1!$M$5:$U$192,9,TRUE))&lt;10^-10,"Alt.",D83-VLOOKUP($D83,Sheet1!$M$5:$U$192,9,TRUE)))</f>
        <v>2.997833539781114E-2</v>
      </c>
      <c r="V83" s="132">
        <f>$D83-Sheet1!$M$3*$R83</f>
        <v>0.14993262248358485</v>
      </c>
      <c r="Z83" s="6"/>
      <c r="AA83" s="61"/>
    </row>
    <row r="84" spans="1:27" ht="13.5">
      <c r="A84" t="s">
        <v>802</v>
      </c>
      <c r="B84">
        <v>4698926</v>
      </c>
      <c r="C84">
        <v>4706079</v>
      </c>
      <c r="D84" s="13">
        <f t="shared" si="2"/>
        <v>2.6333892519319249</v>
      </c>
      <c r="E84" s="61" t="s">
        <v>1931</v>
      </c>
      <c r="F84" s="65">
        <v>84963.716828273042</v>
      </c>
      <c r="G84" s="6">
        <v>682</v>
      </c>
      <c r="H84" s="6">
        <v>648</v>
      </c>
      <c r="I84" s="65">
        <v>0.83785262979916952</v>
      </c>
      <c r="J84" s="6">
        <f>VLOOKUP($D84,Sheet1!$A$5:$C$192,3,TRUE)</f>
        <v>0</v>
      </c>
      <c r="K84" s="42" t="str">
        <f>VLOOKUP($D84,Sheet1!$A$5:$C$192,2,TRUE)</f>
        <v/>
      </c>
      <c r="L84" s="6">
        <f>FLOOR(VLOOKUP($D84,Sheet1!$D$5:$F$192,3,TRUE),1)</f>
        <v>1</v>
      </c>
      <c r="M84" s="42" t="str">
        <f>VLOOKUP($D84,Sheet1!$D$5:$F$192,2,TRUE)</f>
        <v>)|</v>
      </c>
      <c r="N84" s="23">
        <f>FLOOR(VLOOKUP($D84,Sheet1!$G$5:$I$192,3,TRUE),1)</f>
        <v>1</v>
      </c>
      <c r="O84" s="42" t="str">
        <f>VLOOKUP($D84,Sheet1!$G$5:$I$192,2,TRUE)</f>
        <v>'|</v>
      </c>
      <c r="P84" s="23">
        <v>1</v>
      </c>
      <c r="Q84" s="43" t="str">
        <f>VLOOKUP($D84,Sheet1!$J$5:$L$192,2,TRUE)</f>
        <v>'|'</v>
      </c>
      <c r="R84" s="23">
        <f>FLOOR(VLOOKUP($D84,Sheet1!$M$5:$O$192,3,TRUE),1)</f>
        <v>5</v>
      </c>
      <c r="S84" s="42" t="str">
        <f>VLOOKUP($D84,Sheet1!$M$5:$O$192,2,TRUE)</f>
        <v>)|..</v>
      </c>
      <c r="T84" s="117">
        <f>IF(ABS(D84-VLOOKUP($D84,Sheet1!$M$5:$T$192,8,TRUE))&lt;10^-10,"SoCA",D84-VLOOKUP($D84,Sheet1!$M$5:$T$192,8,TRUE))</f>
        <v>8.789472756867811E-2</v>
      </c>
      <c r="U84" s="109">
        <f>IF(VLOOKUP($D84,Sheet1!$M$5:$U$192,9,TRUE)=0,"",IF(ABS(D84-VLOOKUP($D84,Sheet1!$M$5:$U$192,9,TRUE))&lt;10^-10,"Alt.",D84-VLOOKUP($D84,Sheet1!$M$5:$U$192,9,TRUE)))</f>
        <v>7.3842560174221195E-2</v>
      </c>
      <c r="V84" s="132">
        <f>$D84-Sheet1!$M$3*$R84</f>
        <v>0.19379684725999491</v>
      </c>
      <c r="Z84" s="6"/>
      <c r="AA84" s="61"/>
    </row>
    <row r="85" spans="1:27" ht="13.5">
      <c r="A85" t="s">
        <v>1013</v>
      </c>
      <c r="B85">
        <v>28136332</v>
      </c>
      <c r="C85">
        <v>28172097</v>
      </c>
      <c r="D85" s="13">
        <f t="shared" si="2"/>
        <v>2.1992300332646186</v>
      </c>
      <c r="E85" s="61" t="s">
        <v>1931</v>
      </c>
      <c r="F85" s="65">
        <v>1495155.7859902589</v>
      </c>
      <c r="G85" s="6">
        <v>929</v>
      </c>
      <c r="H85" s="6">
        <v>861</v>
      </c>
      <c r="I85" s="65">
        <v>2.8645853946206654</v>
      </c>
      <c r="J85" s="6">
        <f>VLOOKUP($D85,Sheet1!$A$5:$C$192,3,TRUE)</f>
        <v>0</v>
      </c>
      <c r="K85" s="42" t="str">
        <f>VLOOKUP($D85,Sheet1!$A$5:$C$192,2,TRUE)</f>
        <v/>
      </c>
      <c r="L85" s="6">
        <f>FLOOR(VLOOKUP($D85,Sheet1!$D$5:$F$192,3,TRUE),1)</f>
        <v>1</v>
      </c>
      <c r="M85" s="42" t="str">
        <f>VLOOKUP($D85,Sheet1!$D$5:$F$192,2,TRUE)</f>
        <v>)|</v>
      </c>
      <c r="N85" s="23">
        <f>FLOOR(VLOOKUP($D85,Sheet1!$G$5:$I$192,3,TRUE),1)</f>
        <v>1</v>
      </c>
      <c r="O85" s="42" t="str">
        <f>VLOOKUP($D85,Sheet1!$G$5:$I$192,2,TRUE)</f>
        <v>'|</v>
      </c>
      <c r="P85" s="23">
        <v>1</v>
      </c>
      <c r="Q85" s="43" t="str">
        <f>VLOOKUP($D85,Sheet1!$J$5:$L$192,2,TRUE)</f>
        <v>'|'</v>
      </c>
      <c r="R85" s="23">
        <f>FLOOR(VLOOKUP($D85,Sheet1!$M$5:$O$192,3,TRUE),1)</f>
        <v>5</v>
      </c>
      <c r="S85" s="42" t="str">
        <f>VLOOKUP($D85,Sheet1!$M$5:$O$192,2,TRUE)</f>
        <v>'|'</v>
      </c>
      <c r="T85" s="117">
        <f>IF(ABS(D85-VLOOKUP($D85,Sheet1!$M$5:$T$192,8,TRUE))&lt;10^-10,"SoCA",D85-VLOOKUP($D85,Sheet1!$M$5:$T$192,8,TRUE))</f>
        <v>-0.17720692062436516</v>
      </c>
      <c r="U85" s="109">
        <f>IF(VLOOKUP($D85,Sheet1!$M$5:$U$192,9,TRUE)=0,"",IF(ABS(D85-VLOOKUP($D85,Sheet1!$M$5:$U$192,9,TRUE))&lt;10^-10,"Alt.",D85-VLOOKUP($D85,Sheet1!$M$5:$U$192,9,TRUE)))</f>
        <v>-0.15024662542193123</v>
      </c>
      <c r="V85" s="132">
        <f>$D85-Sheet1!$M$3*$R85</f>
        <v>-0.24036237140731131</v>
      </c>
      <c r="Z85" s="6"/>
      <c r="AA85" s="61"/>
    </row>
    <row r="86" spans="1:27" ht="13.5">
      <c r="A86" s="23" t="s">
        <v>797</v>
      </c>
      <c r="B86" s="23">
        <f>2^4*5*7</f>
        <v>560</v>
      </c>
      <c r="C86" s="23">
        <f>3*11*17</f>
        <v>561</v>
      </c>
      <c r="D86" s="13">
        <f t="shared" si="2"/>
        <v>3.088732396591658</v>
      </c>
      <c r="E86" s="61">
        <v>17</v>
      </c>
      <c r="F86" s="65">
        <v>40.038745657481073</v>
      </c>
      <c r="G86" s="6">
        <v>677</v>
      </c>
      <c r="H86" s="6">
        <v>643</v>
      </c>
      <c r="I86" s="65">
        <v>0.80981549347707571</v>
      </c>
      <c r="J86" s="6">
        <f>VLOOKUP($D86,Sheet1!$A$5:$C$192,3,TRUE)</f>
        <v>1</v>
      </c>
      <c r="K86" s="42" t="str">
        <f>VLOOKUP($D86,Sheet1!$A$5:$C$192,2,TRUE)</f>
        <v>|(</v>
      </c>
      <c r="L86" s="6">
        <f>FLOOR(VLOOKUP($D86,Sheet1!$D$5:$F$192,3,TRUE),1)</f>
        <v>1</v>
      </c>
      <c r="M86" s="42" t="str">
        <f>VLOOKUP($D86,Sheet1!$D$5:$F$192,2,TRUE)</f>
        <v>)|</v>
      </c>
      <c r="N86" s="23">
        <f>FLOOR(VLOOKUP($D86,Sheet1!$G$5:$I$192,3,TRUE),1)</f>
        <v>2</v>
      </c>
      <c r="O86" s="42" t="str">
        <f>VLOOKUP($D86,Sheet1!$G$5:$I$192,2,TRUE)</f>
        <v>)|</v>
      </c>
      <c r="P86" s="23">
        <v>1</v>
      </c>
      <c r="Q86" s="43" t="str">
        <f>VLOOKUP($D86,Sheet1!$J$5:$L$192,2,TRUE)</f>
        <v>)|.</v>
      </c>
      <c r="R86" s="23">
        <f>FLOOR(VLOOKUP($D86,Sheet1!$M$5:$O$192,3,TRUE),1)</f>
        <v>6</v>
      </c>
      <c r="S86" s="43" t="str">
        <f>VLOOKUP($D86,Sheet1!$M$5:$O$192,2,TRUE)</f>
        <v>)|.</v>
      </c>
      <c r="T86" s="117">
        <f>IF(ABS(D86-VLOOKUP($D86,Sheet1!$M$5:$T$192,8,TRUE))&lt;10^-10,"SoCA",D86-VLOOKUP($D86,Sheet1!$M$5:$T$192,8,TRUE))</f>
        <v>0.13342983408163667</v>
      </c>
      <c r="U86" s="117">
        <f>IF(VLOOKUP($D86,Sheet1!$M$5:$U$192,9,TRUE)=0,"",IF(ABS(D86-VLOOKUP($D86,Sheet1!$M$5:$U$192,9,TRUE))&lt;10^-10,"Alt.",D86-VLOOKUP($D86,Sheet1!$M$5:$U$192,9,TRUE)))</f>
        <v>0.1064695388792023</v>
      </c>
      <c r="V86" s="132">
        <f>$D86-Sheet1!$M$3*$R86</f>
        <v>0.16122151098534232</v>
      </c>
      <c r="Z86" s="6"/>
      <c r="AA86" s="61"/>
    </row>
    <row r="87" spans="1:27" ht="13.5">
      <c r="A87" s="23" t="s">
        <v>836</v>
      </c>
      <c r="B87" s="23">
        <f>2^4*3*13</f>
        <v>624</v>
      </c>
      <c r="C87" s="23">
        <f>5^4</f>
        <v>625</v>
      </c>
      <c r="D87" s="13">
        <f t="shared" si="2"/>
        <v>2.7721928246412499</v>
      </c>
      <c r="E87" s="61">
        <v>13</v>
      </c>
      <c r="F87" s="65">
        <v>52.841748287182185</v>
      </c>
      <c r="G87" s="6">
        <v>705</v>
      </c>
      <c r="H87" s="6">
        <v>683</v>
      </c>
      <c r="I87" s="65">
        <v>-1.170694011861491</v>
      </c>
      <c r="J87" s="6">
        <f>VLOOKUP($D87,Sheet1!$A$5:$C$192,3,TRUE)</f>
        <v>1</v>
      </c>
      <c r="K87" s="42" t="str">
        <f>VLOOKUP($D87,Sheet1!$A$5:$C$192,2,TRUE)</f>
        <v>|(</v>
      </c>
      <c r="L87" s="6">
        <f>FLOOR(VLOOKUP($D87,Sheet1!$D$5:$F$192,3,TRUE),1)</f>
        <v>1</v>
      </c>
      <c r="M87" s="42" t="str">
        <f>VLOOKUP($D87,Sheet1!$D$5:$F$192,2,TRUE)</f>
        <v>)|</v>
      </c>
      <c r="N87" s="23">
        <f>FLOOR(VLOOKUP($D87,Sheet1!$G$5:$I$192,3,TRUE),1)</f>
        <v>2</v>
      </c>
      <c r="O87" s="42" t="str">
        <f>VLOOKUP($D87,Sheet1!$G$5:$I$192,2,TRUE)</f>
        <v>)|</v>
      </c>
      <c r="P87" s="23">
        <v>1</v>
      </c>
      <c r="Q87" s="43" t="str">
        <f>VLOOKUP($D87,Sheet1!$J$5:$L$192,2,TRUE)</f>
        <v>)|.</v>
      </c>
      <c r="R87" s="23">
        <f>FLOOR(VLOOKUP($D87,Sheet1!$M$5:$O$192,3,TRUE),1)</f>
        <v>6</v>
      </c>
      <c r="S87" s="43" t="str">
        <f>VLOOKUP($D87,Sheet1!$M$5:$O$192,2,TRUE)</f>
        <v>)|.</v>
      </c>
      <c r="T87" s="117">
        <f>IF(ABS(D87-VLOOKUP($D87,Sheet1!$M$5:$T$192,8,TRUE))&lt;10^-10,"SoCA",D87-VLOOKUP($D87,Sheet1!$M$5:$T$192,8,TRUE))</f>
        <v>-0.18310973786877138</v>
      </c>
      <c r="U87" s="117">
        <f>IF(VLOOKUP($D87,Sheet1!$M$5:$U$192,9,TRUE)=0,"",IF(ABS(D87-VLOOKUP($D87,Sheet1!$M$5:$U$192,9,TRUE))&lt;10^-10,"Alt.",D87-VLOOKUP($D87,Sheet1!$M$5:$U$192,9,TRUE)))</f>
        <v>-0.21007003307120575</v>
      </c>
      <c r="V87" s="132">
        <f>$D87-Sheet1!$M$3*$R87</f>
        <v>-0.15531806096506573</v>
      </c>
      <c r="Z87" s="6"/>
      <c r="AA87" s="61"/>
    </row>
    <row r="88" spans="1:27" ht="13.5">
      <c r="A88" s="6" t="s">
        <v>1605</v>
      </c>
      <c r="B88" s="6">
        <f>2^13*7^3</f>
        <v>2809856</v>
      </c>
      <c r="C88" s="6">
        <f>3^9*11*13</f>
        <v>2814669</v>
      </c>
      <c r="D88" s="13">
        <f t="shared" si="2"/>
        <v>2.9628925151794561</v>
      </c>
      <c r="E88" s="61">
        <v>13</v>
      </c>
      <c r="F88" s="65">
        <v>64.243078988050655</v>
      </c>
      <c r="G88" s="6">
        <v>1511</v>
      </c>
      <c r="H88" s="6">
        <v>1454</v>
      </c>
      <c r="I88" s="65">
        <v>8.8175639134352739</v>
      </c>
      <c r="J88" s="6">
        <f>VLOOKUP($D88,Sheet1!$A$5:$C$192,3,TRUE)</f>
        <v>1</v>
      </c>
      <c r="K88" s="42" t="str">
        <f>VLOOKUP($D88,Sheet1!$A$5:$C$192,2,TRUE)</f>
        <v>|(</v>
      </c>
      <c r="L88" s="6">
        <f>FLOOR(VLOOKUP($D88,Sheet1!$D$5:$F$192,3,TRUE),1)</f>
        <v>1</v>
      </c>
      <c r="M88" s="42" t="str">
        <f>VLOOKUP($D88,Sheet1!$D$5:$F$192,2,TRUE)</f>
        <v>)|</v>
      </c>
      <c r="N88" s="23">
        <f>FLOOR(VLOOKUP($D88,Sheet1!$G$5:$I$192,3,TRUE),1)</f>
        <v>2</v>
      </c>
      <c r="O88" s="42" t="str">
        <f>VLOOKUP($D88,Sheet1!$G$5:$I$192,2,TRUE)</f>
        <v>)|</v>
      </c>
      <c r="P88" s="23">
        <v>1</v>
      </c>
      <c r="Q88" s="43" t="str">
        <f>VLOOKUP($D88,Sheet1!$J$5:$L$192,2,TRUE)</f>
        <v>)|.</v>
      </c>
      <c r="R88" s="23">
        <f>FLOOR(VLOOKUP($D88,Sheet1!$M$5:$O$192,3,TRUE),1)</f>
        <v>6</v>
      </c>
      <c r="S88" s="42" t="str">
        <f>VLOOKUP($D88,Sheet1!$M$5:$O$192,2,TRUE)</f>
        <v>)|.</v>
      </c>
      <c r="T88" s="117">
        <f>IF(ABS(D88-VLOOKUP($D88,Sheet1!$M$5:$T$192,8,TRUE))&lt;10^-10,"SoCA",D88-VLOOKUP($D88,Sheet1!$M$5:$T$192,8,TRUE))</f>
        <v>7.5899526694347408E-3</v>
      </c>
      <c r="U88" s="109">
        <f>IF(VLOOKUP($D88,Sheet1!$M$5:$U$192,9,TRUE)=0,"",IF(ABS(D88-VLOOKUP($D88,Sheet1!$M$5:$U$192,9,TRUE))&lt;10^-10,"Alt.",D88-VLOOKUP($D88,Sheet1!$M$5:$U$192,9,TRUE)))</f>
        <v>-1.9370342532999629E-2</v>
      </c>
      <c r="V88" s="132">
        <f>$D88-Sheet1!$M$3*$R88</f>
        <v>3.5381629573140394E-2</v>
      </c>
      <c r="Z88" s="6"/>
      <c r="AA88" s="61"/>
    </row>
    <row r="89" spans="1:27" ht="13.5">
      <c r="A89" t="s">
        <v>1646</v>
      </c>
      <c r="B89">
        <v>11908215</v>
      </c>
      <c r="C89">
        <v>11927552</v>
      </c>
      <c r="D89" s="13">
        <f t="shared" si="2"/>
        <v>2.8089618556004798</v>
      </c>
      <c r="E89" s="61">
        <v>13</v>
      </c>
      <c r="F89" s="65">
        <v>68.108744195861959</v>
      </c>
      <c r="G89" s="6">
        <v>1553</v>
      </c>
      <c r="H89" s="6">
        <v>1495</v>
      </c>
      <c r="I89" s="65">
        <v>-9.1729580150545242</v>
      </c>
      <c r="J89" s="6">
        <f>VLOOKUP($D89,Sheet1!$A$5:$C$192,3,TRUE)</f>
        <v>1</v>
      </c>
      <c r="K89" s="42" t="str">
        <f>VLOOKUP($D89,Sheet1!$A$5:$C$192,2,TRUE)</f>
        <v>|(</v>
      </c>
      <c r="L89" s="6">
        <f>FLOOR(VLOOKUP($D89,Sheet1!$D$5:$F$192,3,TRUE),1)</f>
        <v>1</v>
      </c>
      <c r="M89" s="42" t="str">
        <f>VLOOKUP($D89,Sheet1!$D$5:$F$192,2,TRUE)</f>
        <v>)|</v>
      </c>
      <c r="N89" s="23">
        <f>FLOOR(VLOOKUP($D89,Sheet1!$G$5:$I$192,3,TRUE),1)</f>
        <v>2</v>
      </c>
      <c r="O89" s="42" t="str">
        <f>VLOOKUP($D89,Sheet1!$G$5:$I$192,2,TRUE)</f>
        <v>)|</v>
      </c>
      <c r="P89" s="23">
        <v>1</v>
      </c>
      <c r="Q89" s="43" t="str">
        <f>VLOOKUP($D89,Sheet1!$J$5:$L$192,2,TRUE)</f>
        <v>)|.</v>
      </c>
      <c r="R89" s="23">
        <f>FLOOR(VLOOKUP($D89,Sheet1!$M$5:$O$192,3,TRUE),1)</f>
        <v>6</v>
      </c>
      <c r="S89" s="42" t="str">
        <f>VLOOKUP($D89,Sheet1!$M$5:$O$192,2,TRUE)</f>
        <v>)|.</v>
      </c>
      <c r="T89" s="117">
        <f>IF(ABS(D89-VLOOKUP($D89,Sheet1!$M$5:$T$192,8,TRUE))&lt;10^-10,"SoCA",D89-VLOOKUP($D89,Sheet1!$M$5:$T$192,8,TRUE))</f>
        <v>-0.14634070690954148</v>
      </c>
      <c r="U89" s="109">
        <f>IF(VLOOKUP($D89,Sheet1!$M$5:$U$192,9,TRUE)=0,"",IF(ABS(D89-VLOOKUP($D89,Sheet1!$M$5:$U$192,9,TRUE))&lt;10^-10,"Alt.",D89-VLOOKUP($D89,Sheet1!$M$5:$U$192,9,TRUE)))</f>
        <v>-0.17330100211197585</v>
      </c>
      <c r="V89" s="132">
        <f>$D89-Sheet1!$M$3*$R89</f>
        <v>-0.11854903000583583</v>
      </c>
      <c r="Z89" s="6"/>
      <c r="AA89" s="61"/>
    </row>
    <row r="90" spans="1:27" ht="13.5">
      <c r="A90" s="21" t="s">
        <v>558</v>
      </c>
      <c r="B90" s="21">
        <f>3^7*43</f>
        <v>94041</v>
      </c>
      <c r="C90" s="21">
        <f>2^12*23</f>
        <v>94208</v>
      </c>
      <c r="D90" s="13">
        <f t="shared" si="2"/>
        <v>3.0716355681859913</v>
      </c>
      <c r="E90" s="61">
        <v>43</v>
      </c>
      <c r="F90" s="65">
        <v>69.192612978007915</v>
      </c>
      <c r="G90" s="6">
        <v>393</v>
      </c>
      <c r="H90" s="6">
        <v>402</v>
      </c>
      <c r="I90" s="65">
        <v>-7.1891317925108504</v>
      </c>
      <c r="J90" s="6">
        <f>VLOOKUP($D90,Sheet1!$A$5:$C$192,3,TRUE)</f>
        <v>1</v>
      </c>
      <c r="K90" s="42" t="str">
        <f>VLOOKUP($D90,Sheet1!$A$5:$C$192,2,TRUE)</f>
        <v>|(</v>
      </c>
      <c r="L90" s="6">
        <f>FLOOR(VLOOKUP($D90,Sheet1!$D$5:$F$192,3,TRUE),1)</f>
        <v>1</v>
      </c>
      <c r="M90" s="42" t="str">
        <f>VLOOKUP($D90,Sheet1!$D$5:$F$192,2,TRUE)</f>
        <v>)|</v>
      </c>
      <c r="N90" s="23">
        <f>FLOOR(VLOOKUP($D90,Sheet1!$G$5:$I$192,3,TRUE),1)</f>
        <v>2</v>
      </c>
      <c r="O90" s="42" t="str">
        <f>VLOOKUP($D90,Sheet1!$G$5:$I$192,2,TRUE)</f>
        <v>)|</v>
      </c>
      <c r="P90" s="23">
        <v>1</v>
      </c>
      <c r="Q90" s="43" t="str">
        <f>VLOOKUP($D90,Sheet1!$J$5:$L$192,2,TRUE)</f>
        <v>)|.</v>
      </c>
      <c r="R90" s="23">
        <f>FLOOR(VLOOKUP($D90,Sheet1!$M$5:$O$192,3,TRUE),1)</f>
        <v>6</v>
      </c>
      <c r="S90" s="43" t="str">
        <f>VLOOKUP($D90,Sheet1!$M$5:$O$192,2,TRUE)</f>
        <v>)|.</v>
      </c>
      <c r="T90" s="117">
        <f>IF(ABS(D90-VLOOKUP($D90,Sheet1!$M$5:$T$192,8,TRUE))&lt;10^-10,"SoCA",D90-VLOOKUP($D90,Sheet1!$M$5:$T$192,8,TRUE))</f>
        <v>0.11633300567596994</v>
      </c>
      <c r="U90" s="109">
        <f>IF(VLOOKUP($D90,Sheet1!$M$5:$U$192,9,TRUE)=0,"",IF(ABS(D90-VLOOKUP($D90,Sheet1!$M$5:$U$192,9,TRUE))&lt;10^-10,"Alt.",D90-VLOOKUP($D90,Sheet1!$M$5:$U$192,9,TRUE)))</f>
        <v>8.9372710473535566E-2</v>
      </c>
      <c r="V90" s="132">
        <f>$D90-Sheet1!$M$3*$R90</f>
        <v>0.14412468257967559</v>
      </c>
      <c r="Z90" s="6"/>
      <c r="AA90" s="61"/>
    </row>
    <row r="91" spans="1:27" ht="13.5">
      <c r="A91" t="s">
        <v>1634</v>
      </c>
      <c r="B91">
        <v>9961472</v>
      </c>
      <c r="C91">
        <v>9979281</v>
      </c>
      <c r="D91" s="13">
        <f t="shared" si="2"/>
        <v>3.0923160601928505</v>
      </c>
      <c r="E91" s="61">
        <v>19</v>
      </c>
      <c r="F91" s="65">
        <v>74.433296616667732</v>
      </c>
      <c r="G91" s="6">
        <v>1388</v>
      </c>
      <c r="H91" s="6">
        <v>1483</v>
      </c>
      <c r="I91" s="65">
        <v>9.8095948342531525</v>
      </c>
      <c r="J91" s="6">
        <f>VLOOKUP($D91,Sheet1!$A$5:$C$192,3,TRUE)</f>
        <v>1</v>
      </c>
      <c r="K91" s="42" t="str">
        <f>VLOOKUP($D91,Sheet1!$A$5:$C$192,2,TRUE)</f>
        <v>|(</v>
      </c>
      <c r="L91" s="6">
        <f>FLOOR(VLOOKUP($D91,Sheet1!$D$5:$F$192,3,TRUE),1)</f>
        <v>1</v>
      </c>
      <c r="M91" s="42" t="str">
        <f>VLOOKUP($D91,Sheet1!$D$5:$F$192,2,TRUE)</f>
        <v>)|</v>
      </c>
      <c r="N91" s="23">
        <f>FLOOR(VLOOKUP($D91,Sheet1!$G$5:$I$192,3,TRUE),1)</f>
        <v>2</v>
      </c>
      <c r="O91" s="42" t="str">
        <f>VLOOKUP($D91,Sheet1!$G$5:$I$192,2,TRUE)</f>
        <v>)|</v>
      </c>
      <c r="P91" s="23">
        <v>1</v>
      </c>
      <c r="Q91" s="43" t="str">
        <f>VLOOKUP($D91,Sheet1!$J$5:$L$192,2,TRUE)</f>
        <v>)|.</v>
      </c>
      <c r="R91" s="23">
        <f>FLOOR(VLOOKUP($D91,Sheet1!$M$5:$O$192,3,TRUE),1)</f>
        <v>6</v>
      </c>
      <c r="S91" s="42" t="str">
        <f>VLOOKUP($D91,Sheet1!$M$5:$O$192,2,TRUE)</f>
        <v>)|.</v>
      </c>
      <c r="T91" s="117">
        <f>IF(ABS(D91-VLOOKUP($D91,Sheet1!$M$5:$T$192,8,TRUE))&lt;10^-10,"SoCA",D91-VLOOKUP($D91,Sheet1!$M$5:$T$192,8,TRUE))</f>
        <v>0.13701349768282922</v>
      </c>
      <c r="U91" s="109">
        <f>IF(VLOOKUP($D91,Sheet1!$M$5:$U$192,9,TRUE)=0,"",IF(ABS(D91-VLOOKUP($D91,Sheet1!$M$5:$U$192,9,TRUE))&lt;10^-10,"Alt.",D91-VLOOKUP($D91,Sheet1!$M$5:$U$192,9,TRUE)))</f>
        <v>0.11005320248039485</v>
      </c>
      <c r="V91" s="132">
        <f>$D91-Sheet1!$M$3*$R91</f>
        <v>0.16480517458653487</v>
      </c>
      <c r="Z91" s="6"/>
      <c r="AA91" s="61"/>
    </row>
    <row r="92" spans="1:27" ht="13.5">
      <c r="A92" s="6" t="s">
        <v>1815</v>
      </c>
      <c r="B92" s="6">
        <f>3^11*5*13</f>
        <v>11514555</v>
      </c>
      <c r="C92" s="6">
        <f>2^20*11</f>
        <v>11534336</v>
      </c>
      <c r="D92" s="13">
        <f t="shared" si="2"/>
        <v>2.9715572113497686</v>
      </c>
      <c r="E92" s="61">
        <v>13</v>
      </c>
      <c r="F92" s="65">
        <v>76.277819851988653</v>
      </c>
      <c r="G92" s="59">
        <v>1287</v>
      </c>
      <c r="H92" s="63">
        <v>1000020</v>
      </c>
      <c r="I92" s="65">
        <v>-11.18296960347514</v>
      </c>
      <c r="J92" s="6">
        <f>VLOOKUP($D92,Sheet1!$A$5:$C$192,3,TRUE)</f>
        <v>1</v>
      </c>
      <c r="K92" s="42" t="str">
        <f>VLOOKUP($D92,Sheet1!$A$5:$C$192,2,TRUE)</f>
        <v>|(</v>
      </c>
      <c r="L92" s="6">
        <f>FLOOR(VLOOKUP($D92,Sheet1!$D$5:$F$192,3,TRUE),1)</f>
        <v>1</v>
      </c>
      <c r="M92" s="42" t="str">
        <f>VLOOKUP($D92,Sheet1!$D$5:$F$192,2,TRUE)</f>
        <v>)|</v>
      </c>
      <c r="N92" s="23">
        <f>FLOOR(VLOOKUP($D92,Sheet1!$G$5:$I$192,3,TRUE),1)</f>
        <v>2</v>
      </c>
      <c r="O92" s="42" t="str">
        <f>VLOOKUP($D92,Sheet1!$G$5:$I$192,2,TRUE)</f>
        <v>)|</v>
      </c>
      <c r="P92" s="23">
        <v>1</v>
      </c>
      <c r="Q92" s="43" t="str">
        <f>VLOOKUP($D92,Sheet1!$J$5:$L$192,2,TRUE)</f>
        <v>)|.</v>
      </c>
      <c r="R92" s="23">
        <f>FLOOR(VLOOKUP($D92,Sheet1!$M$5:$O$192,3,TRUE),1)</f>
        <v>6</v>
      </c>
      <c r="S92" s="42" t="str">
        <f>VLOOKUP($D92,Sheet1!$M$5:$O$192,2,TRUE)</f>
        <v>)|.</v>
      </c>
      <c r="T92" s="117">
        <f>IF(ABS(D92-VLOOKUP($D92,Sheet1!$M$5:$T$192,8,TRUE))&lt;10^-10,"SoCA",D92-VLOOKUP($D92,Sheet1!$M$5:$T$192,8,TRUE))</f>
        <v>1.6254648839747254E-2</v>
      </c>
      <c r="U92" s="109">
        <f>IF(VLOOKUP($D92,Sheet1!$M$5:$U$192,9,TRUE)=0,"",IF(ABS(D92-VLOOKUP($D92,Sheet1!$M$5:$U$192,9,TRUE))&lt;10^-10,"Alt.",D92-VLOOKUP($D92,Sheet1!$M$5:$U$192,9,TRUE)))</f>
        <v>-1.0705646362687116E-2</v>
      </c>
      <c r="V92" s="132">
        <f>$D92-Sheet1!$M$3*$R92</f>
        <v>4.4046325743452908E-2</v>
      </c>
      <c r="Z92" s="6"/>
      <c r="AA92" s="61"/>
    </row>
    <row r="93" spans="1:27" ht="13.5">
      <c r="A93" t="s">
        <v>1146</v>
      </c>
      <c r="B93">
        <v>567</v>
      </c>
      <c r="C93">
        <v>568</v>
      </c>
      <c r="D93" s="13">
        <f t="shared" si="2"/>
        <v>3.050633474943778</v>
      </c>
      <c r="E93" s="61" t="s">
        <v>1931</v>
      </c>
      <c r="F93" s="65">
        <v>78.414249675938152</v>
      </c>
      <c r="G93" s="6">
        <v>1051</v>
      </c>
      <c r="H93" s="6">
        <v>995</v>
      </c>
      <c r="I93" s="65">
        <v>-4.1878386171151361</v>
      </c>
      <c r="J93" s="6">
        <f>VLOOKUP($D93,Sheet1!$A$5:$C$192,3,TRUE)</f>
        <v>1</v>
      </c>
      <c r="K93" s="42" t="str">
        <f>VLOOKUP($D93,Sheet1!$A$5:$C$192,2,TRUE)</f>
        <v>|(</v>
      </c>
      <c r="L93" s="6">
        <f>FLOOR(VLOOKUP($D93,Sheet1!$D$5:$F$192,3,TRUE),1)</f>
        <v>1</v>
      </c>
      <c r="M93" s="42" t="str">
        <f>VLOOKUP($D93,Sheet1!$D$5:$F$192,2,TRUE)</f>
        <v>)|</v>
      </c>
      <c r="N93" s="23">
        <f>FLOOR(VLOOKUP($D93,Sheet1!$G$5:$I$192,3,TRUE),1)</f>
        <v>2</v>
      </c>
      <c r="O93" s="42" t="str">
        <f>VLOOKUP($D93,Sheet1!$G$5:$I$192,2,TRUE)</f>
        <v>)|</v>
      </c>
      <c r="P93" s="23">
        <v>1</v>
      </c>
      <c r="Q93" s="43" t="str">
        <f>VLOOKUP($D93,Sheet1!$J$5:$L$192,2,TRUE)</f>
        <v>)|.</v>
      </c>
      <c r="R93" s="23">
        <f>FLOOR(VLOOKUP($D93,Sheet1!$M$5:$O$192,3,TRUE),1)</f>
        <v>6</v>
      </c>
      <c r="S93" s="42" t="str">
        <f>VLOOKUP($D93,Sheet1!$M$5:$O$192,2,TRUE)</f>
        <v>)|.</v>
      </c>
      <c r="T93" s="117">
        <f>IF(ABS(D93-VLOOKUP($D93,Sheet1!$M$5:$T$192,8,TRUE))&lt;10^-10,"SoCA",D93-VLOOKUP($D93,Sheet1!$M$5:$T$192,8,TRUE))</f>
        <v>9.5330912433756687E-2</v>
      </c>
      <c r="U93" s="109">
        <f>IF(VLOOKUP($D93,Sheet1!$M$5:$U$192,9,TRUE)=0,"",IF(ABS(D93-VLOOKUP($D93,Sheet1!$M$5:$U$192,9,TRUE))&lt;10^-10,"Alt.",D93-VLOOKUP($D93,Sheet1!$M$5:$U$192,9,TRUE)))</f>
        <v>6.8370617231322317E-2</v>
      </c>
      <c r="V93" s="132">
        <f>$D93-Sheet1!$M$3*$R93</f>
        <v>0.12312258933746234</v>
      </c>
      <c r="Z93" s="6"/>
      <c r="AA93" s="61"/>
    </row>
    <row r="94" spans="1:27" ht="13.5">
      <c r="A94" s="6" t="s">
        <v>644</v>
      </c>
      <c r="B94" s="6">
        <f>3^5*61</f>
        <v>14823</v>
      </c>
      <c r="C94" s="6">
        <f>2^9*29</f>
        <v>14848</v>
      </c>
      <c r="D94" s="13">
        <f t="shared" si="2"/>
        <v>2.9173847506857382</v>
      </c>
      <c r="E94" s="61" t="s">
        <v>1931</v>
      </c>
      <c r="F94" s="65">
        <v>90.852342147955284</v>
      </c>
      <c r="G94" s="6">
        <v>509</v>
      </c>
      <c r="H94" s="6">
        <v>489</v>
      </c>
      <c r="I94" s="65">
        <v>-5.1796340077110354</v>
      </c>
      <c r="J94" s="6">
        <f>VLOOKUP($D94,Sheet1!$A$5:$C$192,3,TRUE)</f>
        <v>1</v>
      </c>
      <c r="K94" s="42" t="str">
        <f>VLOOKUP($D94,Sheet1!$A$5:$C$192,2,TRUE)</f>
        <v>|(</v>
      </c>
      <c r="L94" s="6">
        <f>FLOOR(VLOOKUP($D94,Sheet1!$D$5:$F$192,3,TRUE),1)</f>
        <v>1</v>
      </c>
      <c r="M94" s="42" t="str">
        <f>VLOOKUP($D94,Sheet1!$D$5:$F$192,2,TRUE)</f>
        <v>)|</v>
      </c>
      <c r="N94" s="23">
        <f>FLOOR(VLOOKUP($D94,Sheet1!$G$5:$I$192,3,TRUE),1)</f>
        <v>2</v>
      </c>
      <c r="O94" s="42" t="str">
        <f>VLOOKUP($D94,Sheet1!$G$5:$I$192,2,TRUE)</f>
        <v>)|</v>
      </c>
      <c r="P94" s="23">
        <v>1</v>
      </c>
      <c r="Q94" s="43" t="str">
        <f>VLOOKUP($D94,Sheet1!$J$5:$L$192,2,TRUE)</f>
        <v>)|.</v>
      </c>
      <c r="R94" s="23">
        <f>FLOOR(VLOOKUP($D94,Sheet1!$M$5:$O$192,3,TRUE),1)</f>
        <v>6</v>
      </c>
      <c r="S94" s="42" t="str">
        <f>VLOOKUP($D94,Sheet1!$M$5:$O$192,2,TRUE)</f>
        <v>)|.</v>
      </c>
      <c r="T94" s="117">
        <f>IF(ABS(D94-VLOOKUP($D94,Sheet1!$M$5:$T$192,8,TRUE))&lt;10^-10,"SoCA",D94-VLOOKUP($D94,Sheet1!$M$5:$T$192,8,TRUE))</f>
        <v>-3.791781182428311E-2</v>
      </c>
      <c r="U94" s="109">
        <f>IF(VLOOKUP($D94,Sheet1!$M$5:$U$192,9,TRUE)=0,"",IF(ABS(D94-VLOOKUP($D94,Sheet1!$M$5:$U$192,9,TRUE))&lt;10^-10,"Alt.",D94-VLOOKUP($D94,Sheet1!$M$5:$U$192,9,TRUE)))</f>
        <v>-6.487810702671748E-2</v>
      </c>
      <c r="V94" s="132">
        <f>$D94-Sheet1!$M$3*$R94</f>
        <v>-1.0126134920577456E-2</v>
      </c>
      <c r="Z94" s="6"/>
      <c r="AA94" s="61"/>
    </row>
    <row r="95" spans="1:27" ht="13.5">
      <c r="A95" t="s">
        <v>1608</v>
      </c>
      <c r="B95">
        <v>19652</v>
      </c>
      <c r="C95">
        <v>19683</v>
      </c>
      <c r="D95" s="13">
        <f t="shared" si="2"/>
        <v>2.7287792872647794</v>
      </c>
      <c r="E95" s="61">
        <v>17</v>
      </c>
      <c r="F95" s="65">
        <v>92.212401760401974</v>
      </c>
      <c r="G95" s="6">
        <v>1514</v>
      </c>
      <c r="H95" s="6">
        <v>1457</v>
      </c>
      <c r="I95" s="65">
        <v>8.8319791177989053</v>
      </c>
      <c r="J95" s="6">
        <f>VLOOKUP($D95,Sheet1!$A$5:$C$192,3,TRUE)</f>
        <v>1</v>
      </c>
      <c r="K95" s="42" t="str">
        <f>VLOOKUP($D95,Sheet1!$A$5:$C$192,2,TRUE)</f>
        <v>|(</v>
      </c>
      <c r="L95" s="6">
        <f>FLOOR(VLOOKUP($D95,Sheet1!$D$5:$F$192,3,TRUE),1)</f>
        <v>1</v>
      </c>
      <c r="M95" s="42" t="str">
        <f>VLOOKUP($D95,Sheet1!$D$5:$F$192,2,TRUE)</f>
        <v>)|</v>
      </c>
      <c r="N95" s="23">
        <f>FLOOR(VLOOKUP($D95,Sheet1!$G$5:$I$192,3,TRUE),1)</f>
        <v>2</v>
      </c>
      <c r="O95" s="42" t="str">
        <f>VLOOKUP($D95,Sheet1!$G$5:$I$192,2,TRUE)</f>
        <v>)|</v>
      </c>
      <c r="P95" s="23">
        <v>1</v>
      </c>
      <c r="Q95" s="43" t="str">
        <f>VLOOKUP($D95,Sheet1!$J$5:$L$192,2,TRUE)</f>
        <v>)|.</v>
      </c>
      <c r="R95" s="23">
        <f>FLOOR(VLOOKUP($D95,Sheet1!$M$5:$O$192,3,TRUE),1)</f>
        <v>6</v>
      </c>
      <c r="S95" s="42" t="str">
        <f>VLOOKUP($D95,Sheet1!$M$5:$O$192,2,TRUE)</f>
        <v>)|.</v>
      </c>
      <c r="T95" s="117">
        <f>IF(ABS(D95-VLOOKUP($D95,Sheet1!$M$5:$T$192,8,TRUE))&lt;10^-10,"SoCA",D95-VLOOKUP($D95,Sheet1!$M$5:$T$192,8,TRUE))</f>
        <v>-0.22652327524524196</v>
      </c>
      <c r="U95" s="109">
        <f>IF(VLOOKUP($D95,Sheet1!$M$5:$U$192,9,TRUE)=0,"",IF(ABS(D95-VLOOKUP($D95,Sheet1!$M$5:$U$192,9,TRUE))&lt;10^-10,"Alt.",D95-VLOOKUP($D95,Sheet1!$M$5:$U$192,9,TRUE)))</f>
        <v>-0.25348357044767633</v>
      </c>
      <c r="V95" s="132">
        <f>$D95-Sheet1!$M$3*$R95</f>
        <v>-0.19873159834153631</v>
      </c>
      <c r="Z95" s="6"/>
      <c r="AA95" s="61"/>
    </row>
    <row r="96" spans="1:27" ht="13.5">
      <c r="A96" s="38" t="s">
        <v>1717</v>
      </c>
      <c r="B96" s="38">
        <f>2^8*5^4*7</f>
        <v>1120000</v>
      </c>
      <c r="C96" s="38">
        <f>3^10*19</f>
        <v>1121931</v>
      </c>
      <c r="D96" s="13">
        <f t="shared" si="2"/>
        <v>2.9822628577124797</v>
      </c>
      <c r="E96" s="61">
        <v>19</v>
      </c>
      <c r="F96" s="65">
        <v>103.39020703587212</v>
      </c>
      <c r="G96" s="6">
        <v>1618</v>
      </c>
      <c r="H96" s="6">
        <v>1566</v>
      </c>
      <c r="I96" s="65">
        <v>9.8163712108755146</v>
      </c>
      <c r="J96" s="6">
        <f>VLOOKUP($D96,Sheet1!$A$5:$C$192,3,TRUE)</f>
        <v>1</v>
      </c>
      <c r="K96" s="42" t="str">
        <f>VLOOKUP($D96,Sheet1!$A$5:$C$192,2,TRUE)</f>
        <v>|(</v>
      </c>
      <c r="L96" s="6">
        <f>FLOOR(VLOOKUP($D96,Sheet1!$D$5:$F$192,3,TRUE),1)</f>
        <v>1</v>
      </c>
      <c r="M96" s="42" t="str">
        <f>VLOOKUP($D96,Sheet1!$D$5:$F$192,2,TRUE)</f>
        <v>)|</v>
      </c>
      <c r="N96" s="23">
        <f>FLOOR(VLOOKUP($D96,Sheet1!$G$5:$I$192,3,TRUE),1)</f>
        <v>2</v>
      </c>
      <c r="O96" s="42" t="str">
        <f>VLOOKUP($D96,Sheet1!$G$5:$I$192,2,TRUE)</f>
        <v>)|</v>
      </c>
      <c r="P96" s="23">
        <v>1</v>
      </c>
      <c r="Q96" s="45" t="str">
        <f>VLOOKUP($D96,Sheet1!$J$5:$L$192,2,TRUE)</f>
        <v>)|.</v>
      </c>
      <c r="R96" s="38">
        <f>FLOOR(VLOOKUP($D96,Sheet1!$M$5:$O$192,3,TRUE),1)</f>
        <v>6</v>
      </c>
      <c r="S96" s="45" t="str">
        <f>VLOOKUP($D96,Sheet1!$M$5:$O$192,2,TRUE)</f>
        <v>)|.</v>
      </c>
      <c r="T96" s="108">
        <f>IF(ABS(D96-VLOOKUP($D96,Sheet1!$M$5:$T$192,8,TRUE))&lt;10^-10,"SoCA",D96-VLOOKUP($D96,Sheet1!$M$5:$T$192,8,TRUE))</f>
        <v>2.6960295202458351E-2</v>
      </c>
      <c r="U96" s="112" t="str">
        <f>IF(VLOOKUP($D96,Sheet1!$M$5:$U$192,9,TRUE)=0,"",IF(ABS(D96-VLOOKUP($D96,Sheet1!$M$5:$U$192,9,TRUE))&lt;10^-10,"Alt.",D96-VLOOKUP($D96,Sheet1!$M$5:$U$192,9,TRUE)))</f>
        <v>Alt.</v>
      </c>
      <c r="V96" s="133">
        <f>$D96-Sheet1!$M$3*$R96</f>
        <v>5.4751972106164004E-2</v>
      </c>
      <c r="Z96" s="6"/>
      <c r="AA96" s="61"/>
    </row>
    <row r="97" spans="1:27" ht="13.5">
      <c r="A97" t="s">
        <v>1713</v>
      </c>
      <c r="B97">
        <v>2421009</v>
      </c>
      <c r="C97">
        <v>2424832</v>
      </c>
      <c r="D97" s="13">
        <f t="shared" si="2"/>
        <v>2.7316245591652444</v>
      </c>
      <c r="E97" s="61">
        <v>41</v>
      </c>
      <c r="F97" s="65">
        <v>104.32106645671993</v>
      </c>
      <c r="G97" s="6">
        <v>1454</v>
      </c>
      <c r="H97" s="6">
        <v>1562</v>
      </c>
      <c r="I97" s="65">
        <v>-10.168196075957896</v>
      </c>
      <c r="J97" s="6">
        <f>VLOOKUP($D97,Sheet1!$A$5:$C$192,3,TRUE)</f>
        <v>1</v>
      </c>
      <c r="K97" s="42" t="str">
        <f>VLOOKUP($D97,Sheet1!$A$5:$C$192,2,TRUE)</f>
        <v>|(</v>
      </c>
      <c r="L97" s="6">
        <f>FLOOR(VLOOKUP($D97,Sheet1!$D$5:$F$192,3,TRUE),1)</f>
        <v>1</v>
      </c>
      <c r="M97" s="42" t="str">
        <f>VLOOKUP($D97,Sheet1!$D$5:$F$192,2,TRUE)</f>
        <v>)|</v>
      </c>
      <c r="N97" s="23">
        <f>FLOOR(VLOOKUP($D97,Sheet1!$G$5:$I$192,3,TRUE),1)</f>
        <v>2</v>
      </c>
      <c r="O97" s="42" t="str">
        <f>VLOOKUP($D97,Sheet1!$G$5:$I$192,2,TRUE)</f>
        <v>)|</v>
      </c>
      <c r="P97" s="23">
        <v>1</v>
      </c>
      <c r="Q97" s="43" t="str">
        <f>VLOOKUP($D97,Sheet1!$J$5:$L$192,2,TRUE)</f>
        <v>)|.</v>
      </c>
      <c r="R97" s="23">
        <f>FLOOR(VLOOKUP($D97,Sheet1!$M$5:$O$192,3,TRUE),1)</f>
        <v>6</v>
      </c>
      <c r="S97" s="42" t="str">
        <f>VLOOKUP($D97,Sheet1!$M$5:$O$192,2,TRUE)</f>
        <v>)|.</v>
      </c>
      <c r="T97" s="117">
        <f>IF(ABS(D97-VLOOKUP($D97,Sheet1!$M$5:$T$192,8,TRUE))&lt;10^-10,"SoCA",D97-VLOOKUP($D97,Sheet1!$M$5:$T$192,8,TRUE))</f>
        <v>-0.22367800334477694</v>
      </c>
      <c r="U97" s="109">
        <f>IF(VLOOKUP($D97,Sheet1!$M$5:$U$192,9,TRUE)=0,"",IF(ABS(D97-VLOOKUP($D97,Sheet1!$M$5:$U$192,9,TRUE))&lt;10^-10,"Alt.",D97-VLOOKUP($D97,Sheet1!$M$5:$U$192,9,TRUE)))</f>
        <v>-0.25063829854721131</v>
      </c>
      <c r="V97" s="132">
        <f>$D97-Sheet1!$M$3*$R97</f>
        <v>-0.19588632644107129</v>
      </c>
      <c r="Z97" s="6"/>
      <c r="AA97" s="61"/>
    </row>
    <row r="98" spans="1:27" ht="13.5">
      <c r="A98" t="s">
        <v>951</v>
      </c>
      <c r="B98">
        <v>4257</v>
      </c>
      <c r="C98">
        <v>4264</v>
      </c>
      <c r="D98" s="13">
        <f t="shared" si="2"/>
        <v>2.8444175729619015</v>
      </c>
      <c r="E98" s="61">
        <v>43</v>
      </c>
      <c r="F98" s="65">
        <v>108.11057022785306</v>
      </c>
      <c r="G98" s="6">
        <v>861</v>
      </c>
      <c r="H98" s="6">
        <v>799</v>
      </c>
      <c r="I98" s="65">
        <v>-2.1751411527446773</v>
      </c>
      <c r="J98" s="6">
        <f>VLOOKUP($D98,Sheet1!$A$5:$C$192,3,TRUE)</f>
        <v>1</v>
      </c>
      <c r="K98" s="42" t="str">
        <f>VLOOKUP($D98,Sheet1!$A$5:$C$192,2,TRUE)</f>
        <v>|(</v>
      </c>
      <c r="L98" s="6">
        <f>FLOOR(VLOOKUP($D98,Sheet1!$D$5:$F$192,3,TRUE),1)</f>
        <v>1</v>
      </c>
      <c r="M98" s="42" t="str">
        <f>VLOOKUP($D98,Sheet1!$D$5:$F$192,2,TRUE)</f>
        <v>)|</v>
      </c>
      <c r="N98" s="23">
        <f>FLOOR(VLOOKUP($D98,Sheet1!$G$5:$I$192,3,TRUE),1)</f>
        <v>2</v>
      </c>
      <c r="O98" s="42" t="str">
        <f>VLOOKUP($D98,Sheet1!$G$5:$I$192,2,TRUE)</f>
        <v>)|</v>
      </c>
      <c r="P98" s="23">
        <v>1</v>
      </c>
      <c r="Q98" s="43" t="str">
        <f>VLOOKUP($D98,Sheet1!$J$5:$L$192,2,TRUE)</f>
        <v>)|.</v>
      </c>
      <c r="R98" s="23">
        <f>FLOOR(VLOOKUP($D98,Sheet1!$M$5:$O$192,3,TRUE),1)</f>
        <v>6</v>
      </c>
      <c r="S98" s="42" t="str">
        <f>VLOOKUP($D98,Sheet1!$M$5:$O$192,2,TRUE)</f>
        <v>)|.</v>
      </c>
      <c r="T98" s="117">
        <f>IF(ABS(D98-VLOOKUP($D98,Sheet1!$M$5:$T$192,8,TRUE))&lt;10^-10,"SoCA",D98-VLOOKUP($D98,Sheet1!$M$5:$T$192,8,TRUE))</f>
        <v>-0.11088498954811987</v>
      </c>
      <c r="U98" s="109">
        <f>IF(VLOOKUP($D98,Sheet1!$M$5:$U$192,9,TRUE)=0,"",IF(ABS(D98-VLOOKUP($D98,Sheet1!$M$5:$U$192,9,TRUE))&lt;10^-10,"Alt.",D98-VLOOKUP($D98,Sheet1!$M$5:$U$192,9,TRUE)))</f>
        <v>-0.13784528475055424</v>
      </c>
      <c r="V98" s="132">
        <f>$D98-Sheet1!$M$3*$R98</f>
        <v>-8.3093312644414219E-2</v>
      </c>
      <c r="Z98" s="6"/>
      <c r="AA98" s="61"/>
    </row>
    <row r="99" spans="1:27" ht="13.5">
      <c r="A99" t="s">
        <v>914</v>
      </c>
      <c r="B99">
        <v>584</v>
      </c>
      <c r="C99">
        <v>585</v>
      </c>
      <c r="D99" s="13">
        <f t="shared" ref="D99:D130" si="3">1200*LN($C99/$B99)/LN(2)</f>
        <v>2.9619067088994862</v>
      </c>
      <c r="E99" s="61" t="s">
        <v>1931</v>
      </c>
      <c r="F99" s="65">
        <v>109.2942104499875</v>
      </c>
      <c r="G99" s="6">
        <v>822</v>
      </c>
      <c r="H99" s="6">
        <v>762</v>
      </c>
      <c r="I99" s="65">
        <v>1.8176246131194191</v>
      </c>
      <c r="J99" s="6">
        <f>VLOOKUP($D99,Sheet1!$A$5:$C$192,3,TRUE)</f>
        <v>1</v>
      </c>
      <c r="K99" s="42" t="str">
        <f>VLOOKUP($D99,Sheet1!$A$5:$C$192,2,TRUE)</f>
        <v>|(</v>
      </c>
      <c r="L99" s="6">
        <f>FLOOR(VLOOKUP($D99,Sheet1!$D$5:$F$192,3,TRUE),1)</f>
        <v>1</v>
      </c>
      <c r="M99" s="42" t="str">
        <f>VLOOKUP($D99,Sheet1!$D$5:$F$192,2,TRUE)</f>
        <v>)|</v>
      </c>
      <c r="N99" s="23">
        <f>FLOOR(VLOOKUP($D99,Sheet1!$G$5:$I$192,3,TRUE),1)</f>
        <v>2</v>
      </c>
      <c r="O99" s="42" t="str">
        <f>VLOOKUP($D99,Sheet1!$G$5:$I$192,2,TRUE)</f>
        <v>)|</v>
      </c>
      <c r="P99" s="23">
        <v>1</v>
      </c>
      <c r="Q99" s="43" t="str">
        <f>VLOOKUP($D99,Sheet1!$J$5:$L$192,2,TRUE)</f>
        <v>)|.</v>
      </c>
      <c r="R99" s="23">
        <f>FLOOR(VLOOKUP($D99,Sheet1!$M$5:$O$192,3,TRUE),1)</f>
        <v>6</v>
      </c>
      <c r="S99" s="42" t="str">
        <f>VLOOKUP($D99,Sheet1!$M$5:$O$192,2,TRUE)</f>
        <v>)|.</v>
      </c>
      <c r="T99" s="117">
        <f>IF(ABS(D99-VLOOKUP($D99,Sheet1!$M$5:$T$192,8,TRUE))&lt;10^-10,"SoCA",D99-VLOOKUP($D99,Sheet1!$M$5:$T$192,8,TRUE))</f>
        <v>6.6041463894648267E-3</v>
      </c>
      <c r="U99" s="109">
        <f>IF(VLOOKUP($D99,Sheet1!$M$5:$U$192,9,TRUE)=0,"",IF(ABS(D99-VLOOKUP($D99,Sheet1!$M$5:$U$192,9,TRUE))&lt;10^-10,"Alt.",D99-VLOOKUP($D99,Sheet1!$M$5:$U$192,9,TRUE)))</f>
        <v>-2.0356148812969543E-2</v>
      </c>
      <c r="V99" s="132">
        <f>$D99-Sheet1!$M$3*$R99</f>
        <v>3.439582329317048E-2</v>
      </c>
      <c r="Z99" s="6"/>
      <c r="AA99" s="61"/>
    </row>
    <row r="100" spans="1:27" ht="13.5">
      <c r="A100" t="s">
        <v>1301</v>
      </c>
      <c r="B100">
        <v>597051</v>
      </c>
      <c r="C100">
        <v>598016</v>
      </c>
      <c r="D100" s="13">
        <f t="shared" si="3"/>
        <v>2.7958954944856882</v>
      </c>
      <c r="E100" s="61" t="s">
        <v>1931</v>
      </c>
      <c r="F100" s="65">
        <v>118.44826409634037</v>
      </c>
      <c r="G100" s="6">
        <v>1064</v>
      </c>
      <c r="H100" s="6">
        <v>1150</v>
      </c>
      <c r="I100" s="65">
        <v>-8.1721534715973405</v>
      </c>
      <c r="J100" s="6">
        <f>VLOOKUP($D100,Sheet1!$A$5:$C$192,3,TRUE)</f>
        <v>1</v>
      </c>
      <c r="K100" s="42" t="str">
        <f>VLOOKUP($D100,Sheet1!$A$5:$C$192,2,TRUE)</f>
        <v>|(</v>
      </c>
      <c r="L100" s="6">
        <f>FLOOR(VLOOKUP($D100,Sheet1!$D$5:$F$192,3,TRUE),1)</f>
        <v>1</v>
      </c>
      <c r="M100" s="42" t="str">
        <f>VLOOKUP($D100,Sheet1!$D$5:$F$192,2,TRUE)</f>
        <v>)|</v>
      </c>
      <c r="N100" s="23">
        <f>FLOOR(VLOOKUP($D100,Sheet1!$G$5:$I$192,3,TRUE),1)</f>
        <v>2</v>
      </c>
      <c r="O100" s="42" t="str">
        <f>VLOOKUP($D100,Sheet1!$G$5:$I$192,2,TRUE)</f>
        <v>)|</v>
      </c>
      <c r="P100" s="23">
        <v>1</v>
      </c>
      <c r="Q100" s="43" t="str">
        <f>VLOOKUP($D100,Sheet1!$J$5:$L$192,2,TRUE)</f>
        <v>)|.</v>
      </c>
      <c r="R100" s="23">
        <f>FLOOR(VLOOKUP($D100,Sheet1!$M$5:$O$192,3,TRUE),1)</f>
        <v>6</v>
      </c>
      <c r="S100" s="42" t="str">
        <f>VLOOKUP($D100,Sheet1!$M$5:$O$192,2,TRUE)</f>
        <v>)|.</v>
      </c>
      <c r="T100" s="117">
        <f>IF(ABS(D100-VLOOKUP($D100,Sheet1!$M$5:$T$192,8,TRUE))&lt;10^-10,"SoCA",D100-VLOOKUP($D100,Sheet1!$M$5:$T$192,8,TRUE))</f>
        <v>-0.15940706802433313</v>
      </c>
      <c r="U100" s="109">
        <f>IF(VLOOKUP($D100,Sheet1!$M$5:$U$192,9,TRUE)=0,"",IF(ABS(D100-VLOOKUP($D100,Sheet1!$M$5:$U$192,9,TRUE))&lt;10^-10,"Alt.",D100-VLOOKUP($D100,Sheet1!$M$5:$U$192,9,TRUE)))</f>
        <v>-0.1863673632267675</v>
      </c>
      <c r="V100" s="132">
        <f>$D100-Sheet1!$M$3*$R100</f>
        <v>-0.13161539112062748</v>
      </c>
      <c r="Z100" s="6"/>
      <c r="AA100" s="61"/>
    </row>
    <row r="101" spans="1:27" ht="13.5">
      <c r="A101" s="17" t="s">
        <v>18</v>
      </c>
      <c r="B101" s="17">
        <f>2^21</f>
        <v>2097152</v>
      </c>
      <c r="C101" s="17">
        <f>5^3*7^5</f>
        <v>2100875</v>
      </c>
      <c r="D101" s="13">
        <f t="shared" si="3"/>
        <v>3.070673940129097</v>
      </c>
      <c r="E101" s="61">
        <v>7</v>
      </c>
      <c r="F101" s="65">
        <v>130.02335602028933</v>
      </c>
      <c r="G101" s="6">
        <v>713</v>
      </c>
      <c r="H101" s="6">
        <v>599</v>
      </c>
      <c r="I101" s="65">
        <v>-0.18907258156798562</v>
      </c>
      <c r="J101" s="6">
        <f>VLOOKUP($D101,Sheet1!$A$5:$C$192,3,TRUE)</f>
        <v>1</v>
      </c>
      <c r="K101" s="42" t="str">
        <f>VLOOKUP($D101,Sheet1!$A$5:$C$192,2,TRUE)</f>
        <v>|(</v>
      </c>
      <c r="L101" s="6">
        <f>FLOOR(VLOOKUP($D101,Sheet1!$D$5:$F$192,3,TRUE),1)</f>
        <v>1</v>
      </c>
      <c r="M101" s="42" t="str">
        <f>VLOOKUP($D101,Sheet1!$D$5:$F$192,2,TRUE)</f>
        <v>)|</v>
      </c>
      <c r="N101" s="23">
        <f>FLOOR(VLOOKUP($D101,Sheet1!$G$5:$I$192,3,TRUE),1)</f>
        <v>2</v>
      </c>
      <c r="O101" s="42" t="str">
        <f>VLOOKUP($D101,Sheet1!$G$5:$I$192,2,TRUE)</f>
        <v>)|</v>
      </c>
      <c r="P101" s="23">
        <v>1</v>
      </c>
      <c r="Q101" s="43" t="str">
        <f>VLOOKUP($D101,Sheet1!$J$5:$L$192,2,TRUE)</f>
        <v>)|.</v>
      </c>
      <c r="R101" s="23">
        <f>FLOOR(VLOOKUP($D101,Sheet1!$M$5:$O$192,3,TRUE),1)</f>
        <v>6</v>
      </c>
      <c r="S101" s="43" t="str">
        <f>VLOOKUP($D101,Sheet1!$M$5:$O$192,2,TRUE)</f>
        <v>)|.</v>
      </c>
      <c r="T101" s="117">
        <f>IF(ABS(D101-VLOOKUP($D101,Sheet1!$M$5:$T$192,8,TRUE))&lt;10^-10,"SoCA",D101-VLOOKUP($D101,Sheet1!$M$5:$T$192,8,TRUE))</f>
        <v>0.11537137761907568</v>
      </c>
      <c r="U101" s="109">
        <f>IF(VLOOKUP($D101,Sheet1!$M$5:$U$192,9,TRUE)=0,"",IF(ABS(D101-VLOOKUP($D101,Sheet1!$M$5:$U$192,9,TRUE))&lt;10^-10,"Alt.",D101-VLOOKUP($D101,Sheet1!$M$5:$U$192,9,TRUE)))</f>
        <v>8.8411082416641307E-2</v>
      </c>
      <c r="V101" s="132">
        <f>$D101-Sheet1!$M$3*$R101</f>
        <v>0.14316305452278133</v>
      </c>
      <c r="Z101" s="6"/>
      <c r="AA101" s="61"/>
    </row>
    <row r="102" spans="1:27" ht="13.5">
      <c r="A102" t="s">
        <v>1434</v>
      </c>
      <c r="B102">
        <v>28431</v>
      </c>
      <c r="C102">
        <v>28480</v>
      </c>
      <c r="D102" s="13">
        <f t="shared" si="3"/>
        <v>2.981163197489503</v>
      </c>
      <c r="E102" s="61" t="s">
        <v>1931</v>
      </c>
      <c r="F102" s="65">
        <v>131.9423345696095</v>
      </c>
      <c r="G102" s="6">
        <v>1350</v>
      </c>
      <c r="H102" s="6">
        <v>1283</v>
      </c>
      <c r="I102" s="65">
        <v>-7.1835610790382756</v>
      </c>
      <c r="J102" s="6">
        <f>VLOOKUP($D102,Sheet1!$A$5:$C$192,3,TRUE)</f>
        <v>1</v>
      </c>
      <c r="K102" s="42" t="str">
        <f>VLOOKUP($D102,Sheet1!$A$5:$C$192,2,TRUE)</f>
        <v>|(</v>
      </c>
      <c r="L102" s="6">
        <f>FLOOR(VLOOKUP($D102,Sheet1!$D$5:$F$192,3,TRUE),1)</f>
        <v>1</v>
      </c>
      <c r="M102" s="42" t="str">
        <f>VLOOKUP($D102,Sheet1!$D$5:$F$192,2,TRUE)</f>
        <v>)|</v>
      </c>
      <c r="N102" s="23">
        <f>FLOOR(VLOOKUP($D102,Sheet1!$G$5:$I$192,3,TRUE),1)</f>
        <v>2</v>
      </c>
      <c r="O102" s="42" t="str">
        <f>VLOOKUP($D102,Sheet1!$G$5:$I$192,2,TRUE)</f>
        <v>)|</v>
      </c>
      <c r="P102" s="23">
        <v>1</v>
      </c>
      <c r="Q102" s="43" t="str">
        <f>VLOOKUP($D102,Sheet1!$J$5:$L$192,2,TRUE)</f>
        <v>)|.</v>
      </c>
      <c r="R102" s="23">
        <f>FLOOR(VLOOKUP($D102,Sheet1!$M$5:$O$192,3,TRUE),1)</f>
        <v>6</v>
      </c>
      <c r="S102" s="42" t="str">
        <f>VLOOKUP($D102,Sheet1!$M$5:$O$192,2,TRUE)</f>
        <v>)|.</v>
      </c>
      <c r="T102" s="117">
        <f>IF(ABS(D102-VLOOKUP($D102,Sheet1!$M$5:$T$192,8,TRUE))&lt;10^-10,"SoCA",D102-VLOOKUP($D102,Sheet1!$M$5:$T$192,8,TRUE))</f>
        <v>2.5860634979481656E-2</v>
      </c>
      <c r="U102" s="109">
        <f>IF(VLOOKUP($D102,Sheet1!$M$5:$U$192,9,TRUE)=0,"",IF(ABS(D102-VLOOKUP($D102,Sheet1!$M$5:$U$192,9,TRUE))&lt;10^-10,"Alt.",D102-VLOOKUP($D102,Sheet1!$M$5:$U$192,9,TRUE)))</f>
        <v>-1.0996602229527142E-3</v>
      </c>
      <c r="V102" s="132">
        <f>$D102-Sheet1!$M$3*$R102</f>
        <v>5.3652311883187309E-2</v>
      </c>
      <c r="Z102" s="6"/>
      <c r="AA102" s="61"/>
    </row>
    <row r="103" spans="1:27" ht="13.5">
      <c r="A103" t="s">
        <v>1395</v>
      </c>
      <c r="B103">
        <v>198656</v>
      </c>
      <c r="C103">
        <v>199017</v>
      </c>
      <c r="D103" s="13">
        <f t="shared" si="3"/>
        <v>3.1431636715942459</v>
      </c>
      <c r="E103" s="61" t="s">
        <v>1931</v>
      </c>
      <c r="F103" s="65">
        <v>143.56722844622252</v>
      </c>
      <c r="G103" s="6">
        <v>1308</v>
      </c>
      <c r="H103" s="6">
        <v>1244</v>
      </c>
      <c r="I103" s="65">
        <v>6.806463961571235</v>
      </c>
      <c r="J103" s="6">
        <f>VLOOKUP($D103,Sheet1!$A$5:$C$192,3,TRUE)</f>
        <v>1</v>
      </c>
      <c r="K103" s="42" t="str">
        <f>VLOOKUP($D103,Sheet1!$A$5:$C$192,2,TRUE)</f>
        <v>|(</v>
      </c>
      <c r="L103" s="6">
        <f>FLOOR(VLOOKUP($D103,Sheet1!$D$5:$F$192,3,TRUE),1)</f>
        <v>1</v>
      </c>
      <c r="M103" s="42" t="str">
        <f>VLOOKUP($D103,Sheet1!$D$5:$F$192,2,TRUE)</f>
        <v>)|</v>
      </c>
      <c r="N103" s="23">
        <f>FLOOR(VLOOKUP($D103,Sheet1!$G$5:$I$192,3,TRUE),1)</f>
        <v>2</v>
      </c>
      <c r="O103" s="42" t="str">
        <f>VLOOKUP($D103,Sheet1!$G$5:$I$192,2,TRUE)</f>
        <v>)|</v>
      </c>
      <c r="P103" s="23">
        <v>1</v>
      </c>
      <c r="Q103" s="43" t="str">
        <f>VLOOKUP($D103,Sheet1!$J$5:$L$192,2,TRUE)</f>
        <v>)|.</v>
      </c>
      <c r="R103" s="23">
        <f>FLOOR(VLOOKUP($D103,Sheet1!$M$5:$O$192,3,TRUE),1)</f>
        <v>6</v>
      </c>
      <c r="S103" s="42" t="str">
        <f>VLOOKUP($D103,Sheet1!$M$5:$O$192,2,TRUE)</f>
        <v>)|.</v>
      </c>
      <c r="T103" s="117">
        <f>IF(ABS(D103-VLOOKUP($D103,Sheet1!$M$5:$T$192,8,TRUE))&lt;10^-10,"SoCA",D103-VLOOKUP($D103,Sheet1!$M$5:$T$192,8,TRUE))</f>
        <v>0.1878611090842246</v>
      </c>
      <c r="U103" s="109">
        <f>IF(VLOOKUP($D103,Sheet1!$M$5:$U$192,9,TRUE)=0,"",IF(ABS(D103-VLOOKUP($D103,Sheet1!$M$5:$U$192,9,TRUE))&lt;10^-10,"Alt.",D103-VLOOKUP($D103,Sheet1!$M$5:$U$192,9,TRUE)))</f>
        <v>0.16090081388179023</v>
      </c>
      <c r="V103" s="132">
        <f>$D103-Sheet1!$M$3*$R103</f>
        <v>0.21565278598793025</v>
      </c>
      <c r="Z103" s="6"/>
      <c r="AA103" s="61"/>
    </row>
    <row r="104" spans="1:27" ht="13.5">
      <c r="A104" t="s">
        <v>1536</v>
      </c>
      <c r="B104">
        <v>535935285</v>
      </c>
      <c r="C104">
        <v>536870912</v>
      </c>
      <c r="D104" s="13">
        <f t="shared" si="3"/>
        <v>3.0197247831581824</v>
      </c>
      <c r="E104" s="61">
        <v>31</v>
      </c>
      <c r="F104" s="65">
        <v>157.9326531324711</v>
      </c>
      <c r="G104" s="6">
        <v>1440</v>
      </c>
      <c r="H104" s="6">
        <v>1385</v>
      </c>
      <c r="I104" s="65">
        <v>-8.1859354563554021</v>
      </c>
      <c r="J104" s="6">
        <f>VLOOKUP($D104,Sheet1!$A$5:$C$192,3,TRUE)</f>
        <v>1</v>
      </c>
      <c r="K104" s="42" t="str">
        <f>VLOOKUP($D104,Sheet1!$A$5:$C$192,2,TRUE)</f>
        <v>|(</v>
      </c>
      <c r="L104" s="6">
        <f>FLOOR(VLOOKUP($D104,Sheet1!$D$5:$F$192,3,TRUE),1)</f>
        <v>1</v>
      </c>
      <c r="M104" s="42" t="str">
        <f>VLOOKUP($D104,Sheet1!$D$5:$F$192,2,TRUE)</f>
        <v>)|</v>
      </c>
      <c r="N104" s="23">
        <f>FLOOR(VLOOKUP($D104,Sheet1!$G$5:$I$192,3,TRUE),1)</f>
        <v>2</v>
      </c>
      <c r="O104" s="42" t="str">
        <f>VLOOKUP($D104,Sheet1!$G$5:$I$192,2,TRUE)</f>
        <v>)|</v>
      </c>
      <c r="P104" s="23">
        <v>1</v>
      </c>
      <c r="Q104" s="43" t="str">
        <f>VLOOKUP($D104,Sheet1!$J$5:$L$192,2,TRUE)</f>
        <v>)|.</v>
      </c>
      <c r="R104" s="23">
        <f>FLOOR(VLOOKUP($D104,Sheet1!$M$5:$O$192,3,TRUE),1)</f>
        <v>6</v>
      </c>
      <c r="S104" s="42" t="str">
        <f>VLOOKUP($D104,Sheet1!$M$5:$O$192,2,TRUE)</f>
        <v>)|.</v>
      </c>
      <c r="T104" s="117">
        <f>IF(ABS(D104-VLOOKUP($D104,Sheet1!$M$5:$T$192,8,TRUE))&lt;10^-10,"SoCA",D104-VLOOKUP($D104,Sheet1!$M$5:$T$192,8,TRUE))</f>
        <v>6.4422220648161055E-2</v>
      </c>
      <c r="U104" s="109">
        <f>IF(VLOOKUP($D104,Sheet1!$M$5:$U$192,9,TRUE)=0,"",IF(ABS(D104-VLOOKUP($D104,Sheet1!$M$5:$U$192,9,TRUE))&lt;10^-10,"Alt.",D104-VLOOKUP($D104,Sheet1!$M$5:$U$192,9,TRUE)))</f>
        <v>3.7461925445726685E-2</v>
      </c>
      <c r="V104" s="132">
        <f>$D104-Sheet1!$M$3*$R104</f>
        <v>9.2213897551866708E-2</v>
      </c>
      <c r="Z104" s="6"/>
      <c r="AA104" s="61"/>
    </row>
    <row r="105" spans="1:27" ht="13.5">
      <c r="A105" t="s">
        <v>911</v>
      </c>
      <c r="B105">
        <v>548</v>
      </c>
      <c r="C105">
        <v>549</v>
      </c>
      <c r="D105" s="13">
        <f t="shared" si="3"/>
        <v>3.1563072536064483</v>
      </c>
      <c r="E105" s="61" t="s">
        <v>1931</v>
      </c>
      <c r="F105" s="65">
        <v>198.1096997128075</v>
      </c>
      <c r="G105" s="6">
        <v>818</v>
      </c>
      <c r="H105" s="6">
        <v>759</v>
      </c>
      <c r="I105" s="65">
        <v>1.8056546633420674</v>
      </c>
      <c r="J105" s="6">
        <f>VLOOKUP($D105,Sheet1!$A$5:$C$192,3,TRUE)</f>
        <v>1</v>
      </c>
      <c r="K105" s="42" t="str">
        <f>VLOOKUP($D105,Sheet1!$A$5:$C$192,2,TRUE)</f>
        <v>|(</v>
      </c>
      <c r="L105" s="6">
        <f>FLOOR(VLOOKUP($D105,Sheet1!$D$5:$F$192,3,TRUE),1)</f>
        <v>1</v>
      </c>
      <c r="M105" s="42" t="str">
        <f>VLOOKUP($D105,Sheet1!$D$5:$F$192,2,TRUE)</f>
        <v>)|</v>
      </c>
      <c r="N105" s="23">
        <f>FLOOR(VLOOKUP($D105,Sheet1!$G$5:$I$192,3,TRUE),1)</f>
        <v>2</v>
      </c>
      <c r="O105" s="42" t="str">
        <f>VLOOKUP($D105,Sheet1!$G$5:$I$192,2,TRUE)</f>
        <v>)|</v>
      </c>
      <c r="P105" s="23">
        <v>1</v>
      </c>
      <c r="Q105" s="43" t="str">
        <f>VLOOKUP($D105,Sheet1!$J$5:$L$192,2,TRUE)</f>
        <v>)|.</v>
      </c>
      <c r="R105" s="23">
        <f>FLOOR(VLOOKUP($D105,Sheet1!$M$5:$O$192,3,TRUE),1)</f>
        <v>6</v>
      </c>
      <c r="S105" s="42" t="str">
        <f>VLOOKUP($D105,Sheet1!$M$5:$O$192,2,TRUE)</f>
        <v>)|.</v>
      </c>
      <c r="T105" s="117">
        <f>IF(ABS(D105-VLOOKUP($D105,Sheet1!$M$5:$T$192,8,TRUE))&lt;10^-10,"SoCA",D105-VLOOKUP($D105,Sheet1!$M$5:$T$192,8,TRUE))</f>
        <v>0.20100469109642694</v>
      </c>
      <c r="U105" s="109">
        <f>IF(VLOOKUP($D105,Sheet1!$M$5:$U$192,9,TRUE)=0,"",IF(ABS(D105-VLOOKUP($D105,Sheet1!$M$5:$U$192,9,TRUE))&lt;10^-10,"Alt.",D105-VLOOKUP($D105,Sheet1!$M$5:$U$192,9,TRUE)))</f>
        <v>0.17404439589399257</v>
      </c>
      <c r="V105" s="132">
        <f>$D105-Sheet1!$M$3*$R105</f>
        <v>0.22879636800013259</v>
      </c>
      <c r="Z105" s="6"/>
      <c r="AA105" s="61"/>
    </row>
    <row r="106" spans="1:27" ht="13.5">
      <c r="A106" t="s">
        <v>1604</v>
      </c>
      <c r="B106">
        <v>19648</v>
      </c>
      <c r="C106">
        <v>19683</v>
      </c>
      <c r="D106" s="13">
        <f t="shared" si="3"/>
        <v>3.0811933442716755</v>
      </c>
      <c r="E106" s="61" t="s">
        <v>1931</v>
      </c>
      <c r="F106" s="65">
        <v>383.61721444106252</v>
      </c>
      <c r="G106" s="6">
        <v>1510</v>
      </c>
      <c r="H106" s="6">
        <v>1453</v>
      </c>
      <c r="I106" s="65">
        <v>8.8102797003946804</v>
      </c>
      <c r="J106" s="6">
        <f>VLOOKUP($D106,Sheet1!$A$5:$C$192,3,TRUE)</f>
        <v>1</v>
      </c>
      <c r="K106" s="42" t="str">
        <f>VLOOKUP($D106,Sheet1!$A$5:$C$192,2,TRUE)</f>
        <v>|(</v>
      </c>
      <c r="L106" s="6">
        <f>FLOOR(VLOOKUP($D106,Sheet1!$D$5:$F$192,3,TRUE),1)</f>
        <v>1</v>
      </c>
      <c r="M106" s="42" t="str">
        <f>VLOOKUP($D106,Sheet1!$D$5:$F$192,2,TRUE)</f>
        <v>)|</v>
      </c>
      <c r="N106" s="23">
        <f>FLOOR(VLOOKUP($D106,Sheet1!$G$5:$I$192,3,TRUE),1)</f>
        <v>2</v>
      </c>
      <c r="O106" s="42" t="str">
        <f>VLOOKUP($D106,Sheet1!$G$5:$I$192,2,TRUE)</f>
        <v>)|</v>
      </c>
      <c r="P106" s="23">
        <v>1</v>
      </c>
      <c r="Q106" s="43" t="str">
        <f>VLOOKUP($D106,Sheet1!$J$5:$L$192,2,TRUE)</f>
        <v>)|.</v>
      </c>
      <c r="R106" s="23">
        <f>FLOOR(VLOOKUP($D106,Sheet1!$M$5:$O$192,3,TRUE),1)</f>
        <v>6</v>
      </c>
      <c r="S106" s="42" t="str">
        <f>VLOOKUP($D106,Sheet1!$M$5:$O$192,2,TRUE)</f>
        <v>)|.</v>
      </c>
      <c r="T106" s="117">
        <f>IF(ABS(D106-VLOOKUP($D106,Sheet1!$M$5:$T$192,8,TRUE))&lt;10^-10,"SoCA",D106-VLOOKUP($D106,Sheet1!$M$5:$T$192,8,TRUE))</f>
        <v>0.12589078176165414</v>
      </c>
      <c r="U106" s="109">
        <f>IF(VLOOKUP($D106,Sheet1!$M$5:$U$192,9,TRUE)=0,"",IF(ABS(D106-VLOOKUP($D106,Sheet1!$M$5:$U$192,9,TRUE))&lt;10^-10,"Alt.",D106-VLOOKUP($D106,Sheet1!$M$5:$U$192,9,TRUE)))</f>
        <v>9.8930486559219766E-2</v>
      </c>
      <c r="V106" s="132">
        <f>$D106-Sheet1!$M$3*$R106</f>
        <v>0.15368245866535979</v>
      </c>
      <c r="Z106" s="6"/>
      <c r="AA106" s="61"/>
    </row>
    <row r="107" spans="1:27" ht="13.5">
      <c r="A107" t="s">
        <v>917</v>
      </c>
      <c r="B107">
        <v>4308752</v>
      </c>
      <c r="C107">
        <v>4315905</v>
      </c>
      <c r="D107" s="13">
        <f t="shared" si="3"/>
        <v>2.8716550680920925</v>
      </c>
      <c r="E107" s="61" t="s">
        <v>1931</v>
      </c>
      <c r="F107" s="65">
        <v>10635.789275176046</v>
      </c>
      <c r="G107" s="6">
        <v>825</v>
      </c>
      <c r="H107" s="6">
        <v>765</v>
      </c>
      <c r="I107" s="65">
        <v>1.8231817354485593</v>
      </c>
      <c r="J107" s="6">
        <f>VLOOKUP($D107,Sheet1!$A$5:$C$192,3,TRUE)</f>
        <v>1</v>
      </c>
      <c r="K107" s="42" t="str">
        <f>VLOOKUP($D107,Sheet1!$A$5:$C$192,2,TRUE)</f>
        <v>|(</v>
      </c>
      <c r="L107" s="6">
        <f>FLOOR(VLOOKUP($D107,Sheet1!$D$5:$F$192,3,TRUE),1)</f>
        <v>1</v>
      </c>
      <c r="M107" s="42" t="str">
        <f>VLOOKUP($D107,Sheet1!$D$5:$F$192,2,TRUE)</f>
        <v>)|</v>
      </c>
      <c r="N107" s="23">
        <f>FLOOR(VLOOKUP($D107,Sheet1!$G$5:$I$192,3,TRUE),1)</f>
        <v>2</v>
      </c>
      <c r="O107" s="42" t="str">
        <f>VLOOKUP($D107,Sheet1!$G$5:$I$192,2,TRUE)</f>
        <v>)|</v>
      </c>
      <c r="P107" s="23">
        <v>1</v>
      </c>
      <c r="Q107" s="43" t="str">
        <f>VLOOKUP($D107,Sheet1!$J$5:$L$192,2,TRUE)</f>
        <v>)|.</v>
      </c>
      <c r="R107" s="23">
        <f>FLOOR(VLOOKUP($D107,Sheet1!$M$5:$O$192,3,TRUE),1)</f>
        <v>6</v>
      </c>
      <c r="S107" s="42" t="str">
        <f>VLOOKUP($D107,Sheet1!$M$5:$O$192,2,TRUE)</f>
        <v>)|.</v>
      </c>
      <c r="T107" s="117">
        <f>IF(ABS(D107-VLOOKUP($D107,Sheet1!$M$5:$T$192,8,TRUE))&lt;10^-10,"SoCA",D107-VLOOKUP($D107,Sheet1!$M$5:$T$192,8,TRUE))</f>
        <v>-8.3647494417928847E-2</v>
      </c>
      <c r="U107" s="109">
        <f>IF(VLOOKUP($D107,Sheet1!$M$5:$U$192,9,TRUE)=0,"",IF(ABS(D107-VLOOKUP($D107,Sheet1!$M$5:$U$192,9,TRUE))&lt;10^-10,"Alt.",D107-VLOOKUP($D107,Sheet1!$M$5:$U$192,9,TRUE)))</f>
        <v>-0.11060778962036322</v>
      </c>
      <c r="V107" s="132">
        <f>$D107-Sheet1!$M$3*$R107</f>
        <v>-5.5855817514223194E-2</v>
      </c>
      <c r="Z107" s="6"/>
      <c r="AA107" s="61"/>
    </row>
    <row r="108" spans="1:27" ht="13.5">
      <c r="A108" t="s">
        <v>1748</v>
      </c>
      <c r="B108">
        <v>472392</v>
      </c>
      <c r="C108">
        <v>473185</v>
      </c>
      <c r="D108" s="13">
        <f t="shared" si="3"/>
        <v>2.903769704138627</v>
      </c>
      <c r="E108" s="61" t="s">
        <v>1931</v>
      </c>
      <c r="F108" s="65">
        <v>132567.89138000109</v>
      </c>
      <c r="G108" s="6">
        <v>1643</v>
      </c>
      <c r="H108" s="6">
        <v>1597</v>
      </c>
      <c r="I108" s="65">
        <v>-10.178795679692815</v>
      </c>
      <c r="J108" s="6">
        <f>VLOOKUP($D108,Sheet1!$A$5:$C$192,3,TRUE)</f>
        <v>1</v>
      </c>
      <c r="K108" s="42" t="str">
        <f>VLOOKUP($D108,Sheet1!$A$5:$C$192,2,TRUE)</f>
        <v>|(</v>
      </c>
      <c r="L108" s="6">
        <f>FLOOR(VLOOKUP($D108,Sheet1!$D$5:$F$192,3,TRUE),1)</f>
        <v>1</v>
      </c>
      <c r="M108" s="42" t="str">
        <f>VLOOKUP($D108,Sheet1!$D$5:$F$192,2,TRUE)</f>
        <v>)|</v>
      </c>
      <c r="N108" s="23">
        <f>FLOOR(VLOOKUP($D108,Sheet1!$G$5:$I$192,3,TRUE),1)</f>
        <v>2</v>
      </c>
      <c r="O108" s="42" t="str">
        <f>VLOOKUP($D108,Sheet1!$G$5:$I$192,2,TRUE)</f>
        <v>)|</v>
      </c>
      <c r="P108" s="23">
        <v>1</v>
      </c>
      <c r="Q108" s="43" t="str">
        <f>VLOOKUP($D108,Sheet1!$J$5:$L$192,2,TRUE)</f>
        <v>)|.</v>
      </c>
      <c r="R108" s="23">
        <f>FLOOR(VLOOKUP($D108,Sheet1!$M$5:$O$192,3,TRUE),1)</f>
        <v>6</v>
      </c>
      <c r="S108" s="42" t="str">
        <f>VLOOKUP($D108,Sheet1!$M$5:$O$192,2,TRUE)</f>
        <v>)|.</v>
      </c>
      <c r="T108" s="117">
        <f>IF(ABS(D108-VLOOKUP($D108,Sheet1!$M$5:$T$192,8,TRUE))&lt;10^-10,"SoCA",D108-VLOOKUP($D108,Sheet1!$M$5:$T$192,8,TRUE))</f>
        <v>-5.1532858371394319E-2</v>
      </c>
      <c r="U108" s="109">
        <f>IF(VLOOKUP($D108,Sheet1!$M$5:$U$192,9,TRUE)=0,"",IF(ABS(D108-VLOOKUP($D108,Sheet1!$M$5:$U$192,9,TRUE))&lt;10^-10,"Alt.",D108-VLOOKUP($D108,Sheet1!$M$5:$U$192,9,TRUE)))</f>
        <v>-7.8493153573828689E-2</v>
      </c>
      <c r="V108" s="132">
        <f>$D108-Sheet1!$M$3*$R108</f>
        <v>-2.3741181467688666E-2</v>
      </c>
      <c r="Z108" s="6"/>
      <c r="AA108" s="61"/>
    </row>
    <row r="109" spans="1:27" ht="13.5">
      <c r="A109" t="s">
        <v>913</v>
      </c>
      <c r="B109">
        <v>4173644</v>
      </c>
      <c r="C109">
        <v>4180797</v>
      </c>
      <c r="D109" s="13">
        <f t="shared" si="3"/>
        <v>2.9645359106476827</v>
      </c>
      <c r="E109" s="61" t="s">
        <v>1931</v>
      </c>
      <c r="F109" s="65">
        <v>1507944.2956784114</v>
      </c>
      <c r="G109" s="6">
        <v>821</v>
      </c>
      <c r="H109" s="6">
        <v>761</v>
      </c>
      <c r="I109" s="65">
        <v>1.8174627235890792</v>
      </c>
      <c r="J109" s="6">
        <f>VLOOKUP($D109,Sheet1!$A$5:$C$192,3,TRUE)</f>
        <v>1</v>
      </c>
      <c r="K109" s="42" t="str">
        <f>VLOOKUP($D109,Sheet1!$A$5:$C$192,2,TRUE)</f>
        <v>|(</v>
      </c>
      <c r="L109" s="6">
        <f>FLOOR(VLOOKUP($D109,Sheet1!$D$5:$F$192,3,TRUE),1)</f>
        <v>1</v>
      </c>
      <c r="M109" s="42" t="str">
        <f>VLOOKUP($D109,Sheet1!$D$5:$F$192,2,TRUE)</f>
        <v>)|</v>
      </c>
      <c r="N109" s="23">
        <f>FLOOR(VLOOKUP($D109,Sheet1!$G$5:$I$192,3,TRUE),1)</f>
        <v>2</v>
      </c>
      <c r="O109" s="42" t="str">
        <f>VLOOKUP($D109,Sheet1!$G$5:$I$192,2,TRUE)</f>
        <v>)|</v>
      </c>
      <c r="P109" s="23">
        <v>1</v>
      </c>
      <c r="Q109" s="43" t="str">
        <f>VLOOKUP($D109,Sheet1!$J$5:$L$192,2,TRUE)</f>
        <v>)|.</v>
      </c>
      <c r="R109" s="23">
        <f>FLOOR(VLOOKUP($D109,Sheet1!$M$5:$O$192,3,TRUE),1)</f>
        <v>6</v>
      </c>
      <c r="S109" s="42" t="str">
        <f>VLOOKUP($D109,Sheet1!$M$5:$O$192,2,TRUE)</f>
        <v>)|.</v>
      </c>
      <c r="T109" s="117">
        <f>IF(ABS(D109-VLOOKUP($D109,Sheet1!$M$5:$T$192,8,TRUE))&lt;10^-10,"SoCA",D109-VLOOKUP($D109,Sheet1!$M$5:$T$192,8,TRUE))</f>
        <v>9.2333481376614124E-3</v>
      </c>
      <c r="U109" s="109">
        <f>IF(VLOOKUP($D109,Sheet1!$M$5:$U$192,9,TRUE)=0,"",IF(ABS(D109-VLOOKUP($D109,Sheet1!$M$5:$U$192,9,TRUE))&lt;10^-10,"Alt.",D109-VLOOKUP($D109,Sheet1!$M$5:$U$192,9,TRUE)))</f>
        <v>-1.7726947064772958E-2</v>
      </c>
      <c r="V109" s="132">
        <f>$D109-Sheet1!$M$3*$R109</f>
        <v>3.7025025041367066E-2</v>
      </c>
      <c r="Z109" s="6"/>
      <c r="AA109" s="61"/>
    </row>
    <row r="110" spans="1:27" ht="13.5">
      <c r="A110" s="33" t="s">
        <v>20</v>
      </c>
      <c r="B110" s="33">
        <f>2^9</f>
        <v>512</v>
      </c>
      <c r="C110" s="35">
        <f>3^3*19</f>
        <v>513</v>
      </c>
      <c r="D110" s="51">
        <f t="shared" si="3"/>
        <v>3.3780187284648457</v>
      </c>
      <c r="E110" s="61">
        <v>19</v>
      </c>
      <c r="F110" s="65">
        <v>22.925517695288672</v>
      </c>
      <c r="G110" s="6">
        <v>30</v>
      </c>
      <c r="H110" s="6">
        <v>28</v>
      </c>
      <c r="I110" s="65">
        <v>2.7920030800961562</v>
      </c>
      <c r="J110" s="6">
        <f>VLOOKUP($D110,Sheet1!$A$5:$C$192,3,TRUE)</f>
        <v>1</v>
      </c>
      <c r="K110" s="42" t="str">
        <f>VLOOKUP($D110,Sheet1!$A$5:$C$192,2,TRUE)</f>
        <v>|(</v>
      </c>
      <c r="L110" s="34">
        <f>FLOOR(VLOOKUP($D110,Sheet1!$D$5:$F$192,3,TRUE),1)</f>
        <v>1</v>
      </c>
      <c r="M110" s="41" t="str">
        <f>VLOOKUP($D110,Sheet1!$D$5:$F$192,2,TRUE)</f>
        <v>)|</v>
      </c>
      <c r="N110" s="34">
        <f>FLOOR(VLOOKUP($D110,Sheet1!$G$5:$I$192,3,TRUE),1)</f>
        <v>2</v>
      </c>
      <c r="O110" s="41" t="str">
        <f>VLOOKUP($D110,Sheet1!$G$5:$I$192,2,TRUE)</f>
        <v>)|</v>
      </c>
      <c r="P110" s="34">
        <v>1</v>
      </c>
      <c r="Q110" s="41" t="str">
        <f>VLOOKUP($D110,Sheet1!$J$5:$L$192,2,TRUE)</f>
        <v>)|</v>
      </c>
      <c r="R110" s="34">
        <f>FLOOR(VLOOKUP($D110,Sheet1!$M$5:$O$192,3,TRUE),1)</f>
        <v>7</v>
      </c>
      <c r="S110" s="41" t="str">
        <f>VLOOKUP($D110,Sheet1!$M$5:$O$192,2,TRUE)</f>
        <v>)|</v>
      </c>
      <c r="T110" s="114" t="str">
        <f>IF(ABS(D110-VLOOKUP($D110,Sheet1!$M$5:$T$192,8,TRUE))&lt;10^-10,"SoCA",D110-VLOOKUP($D110,Sheet1!$M$5:$T$192,8,TRUE))</f>
        <v>SoCA</v>
      </c>
      <c r="U110" s="126" t="str">
        <f>IF(VLOOKUP($D110,Sheet1!$M$5:$U$192,9,TRUE)=0,"",IF(ABS(D110-VLOOKUP($D110,Sheet1!$M$5:$U$192,9,TRUE))&lt;10^-10,"Alt.",D110-VLOOKUP($D110,Sheet1!$M$5:$U$192,9,TRUE)))</f>
        <v/>
      </c>
      <c r="V110" s="137">
        <f>$D110-Sheet1!$M$3*$R110</f>
        <v>-3.7410638075855651E-2</v>
      </c>
      <c r="Z110" s="6"/>
      <c r="AA110" s="61"/>
    </row>
    <row r="111" spans="1:27" ht="13.5">
      <c r="A111" t="s">
        <v>1008</v>
      </c>
      <c r="B111">
        <v>539</v>
      </c>
      <c r="C111">
        <v>540</v>
      </c>
      <c r="D111" s="13">
        <f t="shared" si="3"/>
        <v>3.2089611579903692</v>
      </c>
      <c r="E111" s="61">
        <v>11</v>
      </c>
      <c r="F111" s="65">
        <v>42.143363333502208</v>
      </c>
      <c r="G111" s="6">
        <v>923</v>
      </c>
      <c r="H111" s="6">
        <v>856</v>
      </c>
      <c r="I111" s="65">
        <v>2.8024125706205316</v>
      </c>
      <c r="J111" s="6">
        <f>VLOOKUP($D111,Sheet1!$A$5:$C$192,3,TRUE)</f>
        <v>1</v>
      </c>
      <c r="K111" s="42" t="str">
        <f>VLOOKUP($D111,Sheet1!$A$5:$C$192,2,TRUE)</f>
        <v>|(</v>
      </c>
      <c r="L111" s="6">
        <f>FLOOR(VLOOKUP($D111,Sheet1!$D$5:$F$192,3,TRUE),1)</f>
        <v>1</v>
      </c>
      <c r="M111" s="42" t="str">
        <f>VLOOKUP($D111,Sheet1!$D$5:$F$192,2,TRUE)</f>
        <v>)|</v>
      </c>
      <c r="N111" s="23">
        <f>FLOOR(VLOOKUP($D111,Sheet1!$G$5:$I$192,3,TRUE),1)</f>
        <v>2</v>
      </c>
      <c r="O111" s="42" t="str">
        <f>VLOOKUP($D111,Sheet1!$G$5:$I$192,2,TRUE)</f>
        <v>)|</v>
      </c>
      <c r="P111" s="23">
        <v>1</v>
      </c>
      <c r="Q111" s="43" t="str">
        <f>VLOOKUP($D111,Sheet1!$J$5:$L$192,2,TRUE)</f>
        <v>)|</v>
      </c>
      <c r="R111" s="23">
        <f>FLOOR(VLOOKUP($D111,Sheet1!$M$5:$O$192,3,TRUE),1)</f>
        <v>7</v>
      </c>
      <c r="S111" s="42" t="str">
        <f>VLOOKUP($D111,Sheet1!$M$5:$O$192,2,TRUE)</f>
        <v>)|</v>
      </c>
      <c r="T111" s="117">
        <f>IF(ABS(D111-VLOOKUP($D111,Sheet1!$M$5:$T$192,8,TRUE))&lt;10^-10,"SoCA",D111-VLOOKUP($D111,Sheet1!$M$5:$T$192,8,TRUE))</f>
        <v>-0.16905757047447656</v>
      </c>
      <c r="U111" s="109" t="str">
        <f>IF(VLOOKUP($D111,Sheet1!$M$5:$U$192,9,TRUE)=0,"",IF(ABS(D111-VLOOKUP($D111,Sheet1!$M$5:$U$192,9,TRUE))&lt;10^-10,"Alt.",D111-VLOOKUP($D111,Sheet1!$M$5:$U$192,9,TRUE)))</f>
        <v/>
      </c>
      <c r="V111" s="132">
        <f>$D111-Sheet1!$M$3*$R111</f>
        <v>-0.20646820855033221</v>
      </c>
      <c r="Z111" s="6"/>
      <c r="AA111" s="61"/>
    </row>
    <row r="112" spans="1:27" ht="13.5">
      <c r="A112" t="s">
        <v>509</v>
      </c>
      <c r="B112">
        <v>3321</v>
      </c>
      <c r="C112">
        <v>3328</v>
      </c>
      <c r="D112" s="13">
        <f t="shared" si="3"/>
        <v>3.6452527660604024</v>
      </c>
      <c r="E112" s="61">
        <v>41</v>
      </c>
      <c r="F112" s="65">
        <v>54.385740130311504</v>
      </c>
      <c r="G112" s="6">
        <v>374</v>
      </c>
      <c r="H112" s="6">
        <v>350</v>
      </c>
      <c r="I112" s="65">
        <v>-4.2244514931852075</v>
      </c>
      <c r="J112" s="6">
        <f>VLOOKUP($D112,Sheet1!$A$5:$C$192,3,TRUE)</f>
        <v>1</v>
      </c>
      <c r="K112" s="42" t="str">
        <f>VLOOKUP($D112,Sheet1!$A$5:$C$192,2,TRUE)</f>
        <v>|(</v>
      </c>
      <c r="L112" s="6">
        <f>FLOOR(VLOOKUP($D112,Sheet1!$D$5:$F$192,3,TRUE),1)</f>
        <v>1</v>
      </c>
      <c r="M112" s="42" t="str">
        <f>VLOOKUP($D112,Sheet1!$D$5:$F$192,2,TRUE)</f>
        <v>)|</v>
      </c>
      <c r="N112" s="23">
        <f>FLOOR(VLOOKUP($D112,Sheet1!$G$5:$I$192,3,TRUE),1)</f>
        <v>2</v>
      </c>
      <c r="O112" s="42" t="str">
        <f>VLOOKUP($D112,Sheet1!$G$5:$I$192,2,TRUE)</f>
        <v>)|</v>
      </c>
      <c r="P112" s="23">
        <v>1</v>
      </c>
      <c r="Q112" s="43" t="str">
        <f>VLOOKUP($D112,Sheet1!$J$5:$L$192,2,TRUE)</f>
        <v>)|</v>
      </c>
      <c r="R112" s="23">
        <f>FLOOR(VLOOKUP($D112,Sheet1!$M$5:$O$192,3,TRUE),1)</f>
        <v>7</v>
      </c>
      <c r="S112" s="42" t="str">
        <f>VLOOKUP($D112,Sheet1!$M$5:$O$192,2,TRUE)</f>
        <v>)|</v>
      </c>
      <c r="T112" s="117">
        <f>IF(ABS(D112-VLOOKUP($D112,Sheet1!$M$5:$T$192,8,TRUE))&lt;10^-10,"SoCA",D112-VLOOKUP($D112,Sheet1!$M$5:$T$192,8,TRUE))</f>
        <v>0.26723403759555664</v>
      </c>
      <c r="U112" s="109" t="str">
        <f>IF(VLOOKUP($D112,Sheet1!$M$5:$U$192,9,TRUE)=0,"",IF(ABS(D112-VLOOKUP($D112,Sheet1!$M$5:$U$192,9,TRUE))&lt;10^-10,"Alt.",D112-VLOOKUP($D112,Sheet1!$M$5:$U$192,9,TRUE)))</f>
        <v/>
      </c>
      <c r="V112" s="132">
        <f>$D112-Sheet1!$M$3*$R112</f>
        <v>0.22982339951970099</v>
      </c>
      <c r="Z112" s="6"/>
      <c r="AA112" s="61"/>
    </row>
    <row r="113" spans="1:27" ht="13.5">
      <c r="A113" t="s">
        <v>1394</v>
      </c>
      <c r="B113">
        <v>10912</v>
      </c>
      <c r="C113">
        <v>10935</v>
      </c>
      <c r="D113" s="13">
        <f t="shared" si="3"/>
        <v>3.6452050935399241</v>
      </c>
      <c r="E113" s="61">
        <v>31</v>
      </c>
      <c r="F113" s="65">
        <v>58.953686225813385</v>
      </c>
      <c r="G113" s="6">
        <v>1306</v>
      </c>
      <c r="H113" s="6">
        <v>1243</v>
      </c>
      <c r="I113" s="65">
        <v>6.7755514421855585</v>
      </c>
      <c r="J113" s="6">
        <f>VLOOKUP($D113,Sheet1!$A$5:$C$192,3,TRUE)</f>
        <v>1</v>
      </c>
      <c r="K113" s="42" t="str">
        <f>VLOOKUP($D113,Sheet1!$A$5:$C$192,2,TRUE)</f>
        <v>|(</v>
      </c>
      <c r="L113" s="6">
        <f>FLOOR(VLOOKUP($D113,Sheet1!$D$5:$F$192,3,TRUE),1)</f>
        <v>1</v>
      </c>
      <c r="M113" s="42" t="str">
        <f>VLOOKUP($D113,Sheet1!$D$5:$F$192,2,TRUE)</f>
        <v>)|</v>
      </c>
      <c r="N113" s="23">
        <f>FLOOR(VLOOKUP($D113,Sheet1!$G$5:$I$192,3,TRUE),1)</f>
        <v>2</v>
      </c>
      <c r="O113" s="42" t="str">
        <f>VLOOKUP($D113,Sheet1!$G$5:$I$192,2,TRUE)</f>
        <v>)|</v>
      </c>
      <c r="P113" s="23">
        <v>1</v>
      </c>
      <c r="Q113" s="43" t="str">
        <f>VLOOKUP($D113,Sheet1!$J$5:$L$192,2,TRUE)</f>
        <v>)|</v>
      </c>
      <c r="R113" s="23">
        <f>FLOOR(VLOOKUP($D113,Sheet1!$M$5:$O$192,3,TRUE),1)</f>
        <v>7</v>
      </c>
      <c r="S113" s="42" t="str">
        <f>VLOOKUP($D113,Sheet1!$M$5:$O$192,2,TRUE)</f>
        <v>)|</v>
      </c>
      <c r="T113" s="117">
        <f>IF(ABS(D113-VLOOKUP($D113,Sheet1!$M$5:$T$192,8,TRUE))&lt;10^-10,"SoCA",D113-VLOOKUP($D113,Sheet1!$M$5:$T$192,8,TRUE))</f>
        <v>0.26718636507507831</v>
      </c>
      <c r="U113" s="109" t="str">
        <f>IF(VLOOKUP($D113,Sheet1!$M$5:$U$192,9,TRUE)=0,"",IF(ABS(D113-VLOOKUP($D113,Sheet1!$M$5:$U$192,9,TRUE))&lt;10^-10,"Alt.",D113-VLOOKUP($D113,Sheet1!$M$5:$U$192,9,TRUE)))</f>
        <v/>
      </c>
      <c r="V113" s="132">
        <f>$D113-Sheet1!$M$3*$R113</f>
        <v>0.22977572699922266</v>
      </c>
      <c r="Z113" s="6"/>
      <c r="AA113" s="61"/>
    </row>
    <row r="114" spans="1:27" ht="13.5">
      <c r="A114" s="23" t="s">
        <v>1117</v>
      </c>
      <c r="B114" s="17">
        <f>3^7*5^4*7^2</f>
        <v>66976875</v>
      </c>
      <c r="C114" s="17">
        <f>2^26</f>
        <v>67108864</v>
      </c>
      <c r="D114" s="13">
        <f t="shared" si="3"/>
        <v>3.4083255446990588</v>
      </c>
      <c r="E114" s="61">
        <v>7</v>
      </c>
      <c r="F114" s="65">
        <v>77.532309893155357</v>
      </c>
      <c r="G114" s="6">
        <v>883</v>
      </c>
      <c r="H114" s="6">
        <v>966</v>
      </c>
      <c r="I114" s="65">
        <v>-7.2098630209931276</v>
      </c>
      <c r="J114" s="6">
        <f>VLOOKUP($D114,Sheet1!$A$5:$C$192,3,TRUE)</f>
        <v>1</v>
      </c>
      <c r="K114" s="42" t="str">
        <f>VLOOKUP($D114,Sheet1!$A$5:$C$192,2,TRUE)</f>
        <v>|(</v>
      </c>
      <c r="L114" s="6">
        <f>FLOOR(VLOOKUP($D114,Sheet1!$D$5:$F$192,3,TRUE),1)</f>
        <v>1</v>
      </c>
      <c r="M114" s="42" t="str">
        <f>VLOOKUP($D114,Sheet1!$D$5:$F$192,2,TRUE)</f>
        <v>)|</v>
      </c>
      <c r="N114" s="23">
        <f>FLOOR(VLOOKUP($D114,Sheet1!$G$5:$I$192,3,TRUE),1)</f>
        <v>2</v>
      </c>
      <c r="O114" s="42" t="str">
        <f>VLOOKUP($D114,Sheet1!$G$5:$I$192,2,TRUE)</f>
        <v>)|</v>
      </c>
      <c r="P114" s="23">
        <v>1</v>
      </c>
      <c r="Q114" s="43" t="str">
        <f>VLOOKUP($D114,Sheet1!$J$5:$L$192,2,TRUE)</f>
        <v>)|</v>
      </c>
      <c r="R114" s="23">
        <f>FLOOR(VLOOKUP($D114,Sheet1!$M$5:$O$192,3,TRUE),1)</f>
        <v>7</v>
      </c>
      <c r="S114" s="43" t="str">
        <f>VLOOKUP($D114,Sheet1!$M$5:$O$192,2,TRUE)</f>
        <v>)|</v>
      </c>
      <c r="T114" s="117">
        <f>IF(ABS(D114-VLOOKUP($D114,Sheet1!$M$5:$T$192,8,TRUE))&lt;10^-10,"SoCA",D114-VLOOKUP($D114,Sheet1!$M$5:$T$192,8,TRUE))</f>
        <v>3.0306816234213052E-2</v>
      </c>
      <c r="U114" s="124" t="str">
        <f>IF(VLOOKUP($D114,Sheet1!$M$5:$U$192,9,TRUE)=0,"",IF(ABS(D114-VLOOKUP($D114,Sheet1!$M$5:$U$192,9,TRUE))&lt;10^-10,"Alt.",D114-VLOOKUP($D114,Sheet1!$M$5:$U$192,9,TRUE)))</f>
        <v/>
      </c>
      <c r="V114" s="132">
        <f>$D114-Sheet1!$M$3*$R114</f>
        <v>-7.1038218416425991E-3</v>
      </c>
      <c r="Z114" s="6"/>
      <c r="AA114" s="61"/>
    </row>
    <row r="115" spans="1:27" ht="13.5">
      <c r="A115" t="s">
        <v>1341</v>
      </c>
      <c r="B115">
        <v>12393</v>
      </c>
      <c r="C115">
        <v>12416</v>
      </c>
      <c r="D115" s="13">
        <f t="shared" si="3"/>
        <v>3.2099959318212279</v>
      </c>
      <c r="E115" s="61" t="s">
        <v>1931</v>
      </c>
      <c r="F115" s="65">
        <v>115.804032426392</v>
      </c>
      <c r="G115" s="6">
        <v>1253</v>
      </c>
      <c r="H115" s="6">
        <v>1190</v>
      </c>
      <c r="I115" s="65">
        <v>-6.1976511441741202</v>
      </c>
      <c r="J115" s="6">
        <f>VLOOKUP($D115,Sheet1!$A$5:$C$192,3,TRUE)</f>
        <v>1</v>
      </c>
      <c r="K115" s="42" t="str">
        <f>VLOOKUP($D115,Sheet1!$A$5:$C$192,2,TRUE)</f>
        <v>|(</v>
      </c>
      <c r="L115" s="6">
        <f>FLOOR(VLOOKUP($D115,Sheet1!$D$5:$F$192,3,TRUE),1)</f>
        <v>1</v>
      </c>
      <c r="M115" s="42" t="str">
        <f>VLOOKUP($D115,Sheet1!$D$5:$F$192,2,TRUE)</f>
        <v>)|</v>
      </c>
      <c r="N115" s="23">
        <f>FLOOR(VLOOKUP($D115,Sheet1!$G$5:$I$192,3,TRUE),1)</f>
        <v>2</v>
      </c>
      <c r="O115" s="42" t="str">
        <f>VLOOKUP($D115,Sheet1!$G$5:$I$192,2,TRUE)</f>
        <v>)|</v>
      </c>
      <c r="P115" s="23">
        <v>1</v>
      </c>
      <c r="Q115" s="43" t="str">
        <f>VLOOKUP($D115,Sheet1!$J$5:$L$192,2,TRUE)</f>
        <v>)|</v>
      </c>
      <c r="R115" s="23">
        <f>FLOOR(VLOOKUP($D115,Sheet1!$M$5:$O$192,3,TRUE),1)</f>
        <v>7</v>
      </c>
      <c r="S115" s="42" t="str">
        <f>VLOOKUP($D115,Sheet1!$M$5:$O$192,2,TRUE)</f>
        <v>)|</v>
      </c>
      <c r="T115" s="117">
        <f>IF(ABS(D115-VLOOKUP($D115,Sheet1!$M$5:$T$192,8,TRUE))&lt;10^-10,"SoCA",D115-VLOOKUP($D115,Sheet1!$M$5:$T$192,8,TRUE))</f>
        <v>-0.16802279664361786</v>
      </c>
      <c r="U115" s="109" t="str">
        <f>IF(VLOOKUP($D115,Sheet1!$M$5:$U$192,9,TRUE)=0,"",IF(ABS(D115-VLOOKUP($D115,Sheet1!$M$5:$U$192,9,TRUE))&lt;10^-10,"Alt.",D115-VLOOKUP($D115,Sheet1!$M$5:$U$192,9,TRUE)))</f>
        <v/>
      </c>
      <c r="V115" s="132">
        <f>$D115-Sheet1!$M$3*$R115</f>
        <v>-0.20543343471947351</v>
      </c>
      <c r="Z115" s="6"/>
      <c r="AA115" s="61"/>
    </row>
    <row r="116" spans="1:27" ht="13.5">
      <c r="A116" s="6" t="s">
        <v>1828</v>
      </c>
      <c r="B116">
        <v>7602176</v>
      </c>
      <c r="C116">
        <v>7617321</v>
      </c>
      <c r="D116" s="13">
        <f t="shared" si="3"/>
        <v>3.4455210086924049</v>
      </c>
      <c r="E116" s="61">
        <v>43</v>
      </c>
      <c r="F116" s="65">
        <v>117.36536878016935</v>
      </c>
      <c r="G116" s="59">
        <v>1580</v>
      </c>
      <c r="H116" s="63">
        <v>1000033</v>
      </c>
      <c r="I116" s="65">
        <v>10.787846718778349</v>
      </c>
      <c r="J116" s="6">
        <f>VLOOKUP($D116,Sheet1!$A$5:$C$192,3,TRUE)</f>
        <v>1</v>
      </c>
      <c r="K116" s="42" t="str">
        <f>VLOOKUP($D116,Sheet1!$A$5:$C$192,2,TRUE)</f>
        <v>|(</v>
      </c>
      <c r="L116" s="6">
        <f>FLOOR(VLOOKUP($D116,Sheet1!$D$5:$F$192,3,TRUE),1)</f>
        <v>1</v>
      </c>
      <c r="M116" s="42" t="str">
        <f>VLOOKUP($D116,Sheet1!$D$5:$F$192,2,TRUE)</f>
        <v>)|</v>
      </c>
      <c r="N116" s="23">
        <f>FLOOR(VLOOKUP($D116,Sheet1!$G$5:$I$192,3,TRUE),1)</f>
        <v>2</v>
      </c>
      <c r="O116" s="42" t="str">
        <f>VLOOKUP($D116,Sheet1!$G$5:$I$192,2,TRUE)</f>
        <v>)|</v>
      </c>
      <c r="P116" s="23">
        <v>1</v>
      </c>
      <c r="Q116" s="43" t="str">
        <f>VLOOKUP($D116,Sheet1!$J$5:$L$192,2,TRUE)</f>
        <v>)|</v>
      </c>
      <c r="R116" s="23">
        <f>FLOOR(VLOOKUP($D116,Sheet1!$M$5:$O$192,3,TRUE),1)</f>
        <v>7</v>
      </c>
      <c r="S116" s="42" t="str">
        <f>VLOOKUP($D116,Sheet1!$M$5:$O$192,2,TRUE)</f>
        <v>)|</v>
      </c>
      <c r="T116" s="117">
        <f>IF(ABS(D116-VLOOKUP($D116,Sheet1!$M$5:$T$192,8,TRUE))&lt;10^-10,"SoCA",D116-VLOOKUP($D116,Sheet1!$M$5:$T$192,8,TRUE))</f>
        <v>6.7502280227559108E-2</v>
      </c>
      <c r="U116" s="109" t="str">
        <f>IF(VLOOKUP($D116,Sheet1!$M$5:$U$192,9,TRUE)=0,"",IF(ABS(D116-VLOOKUP($D116,Sheet1!$M$5:$U$192,9,TRUE))&lt;10^-10,"Alt.",D116-VLOOKUP($D116,Sheet1!$M$5:$U$192,9,TRUE)))</f>
        <v/>
      </c>
      <c r="V116" s="132">
        <f>$D116-Sheet1!$M$3*$R116</f>
        <v>3.0091642151703457E-2</v>
      </c>
      <c r="Z116" s="6"/>
      <c r="AA116" s="61"/>
    </row>
    <row r="117" spans="1:27" ht="13.5">
      <c r="A117" t="s">
        <v>1045</v>
      </c>
      <c r="B117">
        <v>2619</v>
      </c>
      <c r="C117">
        <v>2624</v>
      </c>
      <c r="D117" s="13">
        <f t="shared" si="3"/>
        <v>3.301992320984823</v>
      </c>
      <c r="E117" s="61" t="s">
        <v>1931</v>
      </c>
      <c r="F117" s="65">
        <v>138.23491766549688</v>
      </c>
      <c r="G117" s="6">
        <v>963</v>
      </c>
      <c r="H117" s="6">
        <v>893</v>
      </c>
      <c r="I117" s="65">
        <v>-3.2033156970160164</v>
      </c>
      <c r="J117" s="6">
        <f>VLOOKUP($D117,Sheet1!$A$5:$C$192,3,TRUE)</f>
        <v>1</v>
      </c>
      <c r="K117" s="42" t="str">
        <f>VLOOKUP($D117,Sheet1!$A$5:$C$192,2,TRUE)</f>
        <v>|(</v>
      </c>
      <c r="L117" s="6">
        <f>FLOOR(VLOOKUP($D117,Sheet1!$D$5:$F$192,3,TRUE),1)</f>
        <v>1</v>
      </c>
      <c r="M117" s="42" t="str">
        <f>VLOOKUP($D117,Sheet1!$D$5:$F$192,2,TRUE)</f>
        <v>)|</v>
      </c>
      <c r="N117" s="23">
        <f>FLOOR(VLOOKUP($D117,Sheet1!$G$5:$I$192,3,TRUE),1)</f>
        <v>2</v>
      </c>
      <c r="O117" s="42" t="str">
        <f>VLOOKUP($D117,Sheet1!$G$5:$I$192,2,TRUE)</f>
        <v>)|</v>
      </c>
      <c r="P117" s="23">
        <v>1</v>
      </c>
      <c r="Q117" s="43" t="str">
        <f>VLOOKUP($D117,Sheet1!$J$5:$L$192,2,TRUE)</f>
        <v>)|</v>
      </c>
      <c r="R117" s="23">
        <f>FLOOR(VLOOKUP($D117,Sheet1!$M$5:$O$192,3,TRUE),1)</f>
        <v>7</v>
      </c>
      <c r="S117" s="42" t="str">
        <f>VLOOKUP($D117,Sheet1!$M$5:$O$192,2,TRUE)</f>
        <v>)|</v>
      </c>
      <c r="T117" s="117">
        <f>IF(ABS(D117-VLOOKUP($D117,Sheet1!$M$5:$T$192,8,TRUE))&lt;10^-10,"SoCA",D117-VLOOKUP($D117,Sheet1!$M$5:$T$192,8,TRUE))</f>
        <v>-7.6026407480022762E-2</v>
      </c>
      <c r="U117" s="109" t="str">
        <f>IF(VLOOKUP($D117,Sheet1!$M$5:$U$192,9,TRUE)=0,"",IF(ABS(D117-VLOOKUP($D117,Sheet1!$M$5:$U$192,9,TRUE))&lt;10^-10,"Alt.",D117-VLOOKUP($D117,Sheet1!$M$5:$U$192,9,TRUE)))</f>
        <v/>
      </c>
      <c r="V117" s="132">
        <f>$D117-Sheet1!$M$3*$R117</f>
        <v>-0.11343704555587841</v>
      </c>
      <c r="Z117" s="6"/>
      <c r="AA117" s="61"/>
    </row>
    <row r="118" spans="1:27" ht="13.5">
      <c r="A118" t="s">
        <v>1437</v>
      </c>
      <c r="B118">
        <v>54675</v>
      </c>
      <c r="C118">
        <v>54784</v>
      </c>
      <c r="D118" s="13">
        <f t="shared" si="3"/>
        <v>3.4479498939948798</v>
      </c>
      <c r="E118" s="61" t="s">
        <v>1931</v>
      </c>
      <c r="F118" s="65">
        <v>144.04722494397672</v>
      </c>
      <c r="G118" s="6">
        <v>1352</v>
      </c>
      <c r="H118" s="6">
        <v>1286</v>
      </c>
      <c r="I118" s="65">
        <v>-7.212302836538635</v>
      </c>
      <c r="J118" s="6">
        <f>VLOOKUP($D118,Sheet1!$A$5:$C$192,3,TRUE)</f>
        <v>1</v>
      </c>
      <c r="K118" s="42" t="str">
        <f>VLOOKUP($D118,Sheet1!$A$5:$C$192,2,TRUE)</f>
        <v>|(</v>
      </c>
      <c r="L118" s="6">
        <f>FLOOR(VLOOKUP($D118,Sheet1!$D$5:$F$192,3,TRUE),1)</f>
        <v>1</v>
      </c>
      <c r="M118" s="42" t="str">
        <f>VLOOKUP($D118,Sheet1!$D$5:$F$192,2,TRUE)</f>
        <v>)|</v>
      </c>
      <c r="N118" s="23">
        <f>FLOOR(VLOOKUP($D118,Sheet1!$G$5:$I$192,3,TRUE),1)</f>
        <v>2</v>
      </c>
      <c r="O118" s="42" t="str">
        <f>VLOOKUP($D118,Sheet1!$G$5:$I$192,2,TRUE)</f>
        <v>)|</v>
      </c>
      <c r="P118" s="23">
        <v>1</v>
      </c>
      <c r="Q118" s="43" t="str">
        <f>VLOOKUP($D118,Sheet1!$J$5:$L$192,2,TRUE)</f>
        <v>)|</v>
      </c>
      <c r="R118" s="23">
        <f>FLOOR(VLOOKUP($D118,Sheet1!$M$5:$O$192,3,TRUE),1)</f>
        <v>7</v>
      </c>
      <c r="S118" s="42" t="str">
        <f>VLOOKUP($D118,Sheet1!$M$5:$O$192,2,TRUE)</f>
        <v>)|</v>
      </c>
      <c r="T118" s="117">
        <f>IF(ABS(D118-VLOOKUP($D118,Sheet1!$M$5:$T$192,8,TRUE))&lt;10^-10,"SoCA",D118-VLOOKUP($D118,Sheet1!$M$5:$T$192,8,TRUE))</f>
        <v>6.993116553003409E-2</v>
      </c>
      <c r="U118" s="109" t="str">
        <f>IF(VLOOKUP($D118,Sheet1!$M$5:$U$192,9,TRUE)=0,"",IF(ABS(D118-VLOOKUP($D118,Sheet1!$M$5:$U$192,9,TRUE))&lt;10^-10,"Alt.",D118-VLOOKUP($D118,Sheet1!$M$5:$U$192,9,TRUE)))</f>
        <v/>
      </c>
      <c r="V118" s="132">
        <f>$D118-Sheet1!$M$3*$R118</f>
        <v>3.2520527454178438E-2</v>
      </c>
      <c r="Z118" s="6"/>
      <c r="AA118" s="61"/>
    </row>
    <row r="119" spans="1:27" ht="13.5">
      <c r="A119" t="s">
        <v>1110</v>
      </c>
      <c r="B119">
        <v>5740</v>
      </c>
      <c r="C119">
        <v>5751</v>
      </c>
      <c r="D119" s="13">
        <f t="shared" si="3"/>
        <v>3.3145209915078051</v>
      </c>
      <c r="E119" s="61" t="s">
        <v>1931</v>
      </c>
      <c r="F119" s="65">
        <v>173.9992766480718</v>
      </c>
      <c r="G119" s="6">
        <v>1023</v>
      </c>
      <c r="H119" s="6">
        <v>959</v>
      </c>
      <c r="I119" s="65">
        <v>3.7959128670954518</v>
      </c>
      <c r="J119" s="6">
        <f>VLOOKUP($D119,Sheet1!$A$5:$C$192,3,TRUE)</f>
        <v>1</v>
      </c>
      <c r="K119" s="42" t="str">
        <f>VLOOKUP($D119,Sheet1!$A$5:$C$192,2,TRUE)</f>
        <v>|(</v>
      </c>
      <c r="L119" s="6">
        <f>FLOOR(VLOOKUP($D119,Sheet1!$D$5:$F$192,3,TRUE),1)</f>
        <v>1</v>
      </c>
      <c r="M119" s="42" t="str">
        <f>VLOOKUP($D119,Sheet1!$D$5:$F$192,2,TRUE)</f>
        <v>)|</v>
      </c>
      <c r="N119" s="23">
        <f>FLOOR(VLOOKUP($D119,Sheet1!$G$5:$I$192,3,TRUE),1)</f>
        <v>2</v>
      </c>
      <c r="O119" s="42" t="str">
        <f>VLOOKUP($D119,Sheet1!$G$5:$I$192,2,TRUE)</f>
        <v>)|</v>
      </c>
      <c r="P119" s="23">
        <v>1</v>
      </c>
      <c r="Q119" s="43" t="str">
        <f>VLOOKUP($D119,Sheet1!$J$5:$L$192,2,TRUE)</f>
        <v>)|</v>
      </c>
      <c r="R119" s="23">
        <f>FLOOR(VLOOKUP($D119,Sheet1!$M$5:$O$192,3,TRUE),1)</f>
        <v>7</v>
      </c>
      <c r="S119" s="42" t="str">
        <f>VLOOKUP($D119,Sheet1!$M$5:$O$192,2,TRUE)</f>
        <v>)|</v>
      </c>
      <c r="T119" s="117">
        <f>IF(ABS(D119-VLOOKUP($D119,Sheet1!$M$5:$T$192,8,TRUE))&lt;10^-10,"SoCA",D119-VLOOKUP($D119,Sheet1!$M$5:$T$192,8,TRUE))</f>
        <v>-6.349773695704064E-2</v>
      </c>
      <c r="U119" s="109" t="str">
        <f>IF(VLOOKUP($D119,Sheet1!$M$5:$U$192,9,TRUE)=0,"",IF(ABS(D119-VLOOKUP($D119,Sheet1!$M$5:$U$192,9,TRUE))&lt;10^-10,"Alt.",D119-VLOOKUP($D119,Sheet1!$M$5:$U$192,9,TRUE)))</f>
        <v/>
      </c>
      <c r="V119" s="132">
        <f>$D119-Sheet1!$M$3*$R119</f>
        <v>-0.10090837503289629</v>
      </c>
      <c r="Z119" s="6"/>
      <c r="AA119" s="61"/>
    </row>
    <row r="120" spans="1:27" ht="13.5">
      <c r="A120" s="6" t="s">
        <v>1864</v>
      </c>
      <c r="B120">
        <v>1417176</v>
      </c>
      <c r="C120">
        <v>1419857</v>
      </c>
      <c r="D120" s="13">
        <f t="shared" si="3"/>
        <v>3.2720379827750352</v>
      </c>
      <c r="E120" s="61">
        <v>17</v>
      </c>
      <c r="F120" s="65">
        <v>224.31215791096577</v>
      </c>
      <c r="G120" s="59">
        <v>1699</v>
      </c>
      <c r="H120" s="63">
        <v>1000069</v>
      </c>
      <c r="I120" s="65">
        <v>-11.201471299282844</v>
      </c>
      <c r="J120" s="6">
        <f>VLOOKUP($D120,Sheet1!$A$5:$C$192,3,TRUE)</f>
        <v>1</v>
      </c>
      <c r="K120" s="42" t="str">
        <f>VLOOKUP($D120,Sheet1!$A$5:$C$192,2,TRUE)</f>
        <v>|(</v>
      </c>
      <c r="L120" s="6">
        <f>FLOOR(VLOOKUP($D120,Sheet1!$D$5:$F$192,3,TRUE),1)</f>
        <v>1</v>
      </c>
      <c r="M120" s="42" t="str">
        <f>VLOOKUP($D120,Sheet1!$D$5:$F$192,2,TRUE)</f>
        <v>)|</v>
      </c>
      <c r="N120" s="23">
        <f>FLOOR(VLOOKUP($D120,Sheet1!$G$5:$I$192,3,TRUE),1)</f>
        <v>2</v>
      </c>
      <c r="O120" s="42" t="str">
        <f>VLOOKUP($D120,Sheet1!$G$5:$I$192,2,TRUE)</f>
        <v>)|</v>
      </c>
      <c r="P120" s="23">
        <v>1</v>
      </c>
      <c r="Q120" s="43" t="str">
        <f>VLOOKUP($D120,Sheet1!$J$5:$L$192,2,TRUE)</f>
        <v>)|</v>
      </c>
      <c r="R120" s="23">
        <f>FLOOR(VLOOKUP($D120,Sheet1!$M$5:$O$192,3,TRUE),1)</f>
        <v>7</v>
      </c>
      <c r="S120" s="42" t="str">
        <f>VLOOKUP($D120,Sheet1!$M$5:$O$192,2,TRUE)</f>
        <v>)|</v>
      </c>
      <c r="T120" s="117">
        <f>IF(ABS(D120-VLOOKUP($D120,Sheet1!$M$5:$T$192,8,TRUE))&lt;10^-10,"SoCA",D120-VLOOKUP($D120,Sheet1!$M$5:$T$192,8,TRUE))</f>
        <v>-0.10598074568981053</v>
      </c>
      <c r="U120" s="109" t="str">
        <f>IF(VLOOKUP($D120,Sheet1!$M$5:$U$192,9,TRUE)=0,"",IF(ABS(D120-VLOOKUP($D120,Sheet1!$M$5:$U$192,9,TRUE))&lt;10^-10,"Alt.",D120-VLOOKUP($D120,Sheet1!$M$5:$U$192,9,TRUE)))</f>
        <v/>
      </c>
      <c r="V120" s="132">
        <f>$D120-Sheet1!$M$3*$R120</f>
        <v>-0.14339138376566618</v>
      </c>
      <c r="Z120" s="6"/>
      <c r="AA120" s="61"/>
    </row>
    <row r="121" spans="1:27" ht="13.5">
      <c r="A121" t="s">
        <v>525</v>
      </c>
      <c r="B121">
        <v>216064</v>
      </c>
      <c r="C121">
        <v>216513</v>
      </c>
      <c r="D121" s="13">
        <f t="shared" si="3"/>
        <v>3.5939237046214245</v>
      </c>
      <c r="E121" s="61" t="s">
        <v>1931</v>
      </c>
      <c r="F121" s="65">
        <v>236.21813903959927</v>
      </c>
      <c r="G121" s="6">
        <v>314</v>
      </c>
      <c r="H121" s="6">
        <v>368</v>
      </c>
      <c r="I121" s="65">
        <v>8.778709024129542</v>
      </c>
      <c r="J121" s="6">
        <f>VLOOKUP($D121,Sheet1!$A$5:$C$192,3,TRUE)</f>
        <v>1</v>
      </c>
      <c r="K121" s="42" t="str">
        <f>VLOOKUP($D121,Sheet1!$A$5:$C$192,2,TRUE)</f>
        <v>|(</v>
      </c>
      <c r="L121" s="6">
        <f>FLOOR(VLOOKUP($D121,Sheet1!$D$5:$F$192,3,TRUE),1)</f>
        <v>1</v>
      </c>
      <c r="M121" s="42" t="str">
        <f>VLOOKUP($D121,Sheet1!$D$5:$F$192,2,TRUE)</f>
        <v>)|</v>
      </c>
      <c r="N121" s="23">
        <f>FLOOR(VLOOKUP($D121,Sheet1!$G$5:$I$192,3,TRUE),1)</f>
        <v>2</v>
      </c>
      <c r="O121" s="42" t="str">
        <f>VLOOKUP($D121,Sheet1!$G$5:$I$192,2,TRUE)</f>
        <v>)|</v>
      </c>
      <c r="P121" s="23">
        <v>1</v>
      </c>
      <c r="Q121" s="43" t="str">
        <f>VLOOKUP($D121,Sheet1!$J$5:$L$192,2,TRUE)</f>
        <v>)|</v>
      </c>
      <c r="R121" s="23">
        <f>FLOOR(VLOOKUP($D121,Sheet1!$M$5:$O$192,3,TRUE),1)</f>
        <v>7</v>
      </c>
      <c r="S121" s="42" t="str">
        <f>VLOOKUP($D121,Sheet1!$M$5:$O$192,2,TRUE)</f>
        <v>)|</v>
      </c>
      <c r="T121" s="117">
        <f>IF(ABS(D121-VLOOKUP($D121,Sheet1!$M$5:$T$192,8,TRUE))&lt;10^-10,"SoCA",D121-VLOOKUP($D121,Sheet1!$M$5:$T$192,8,TRUE))</f>
        <v>0.21590497615657878</v>
      </c>
      <c r="U121" s="109" t="str">
        <f>IF(VLOOKUP($D121,Sheet1!$M$5:$U$192,9,TRUE)=0,"",IF(ABS(D121-VLOOKUP($D121,Sheet1!$M$5:$U$192,9,TRUE))&lt;10^-10,"Alt.",D121-VLOOKUP($D121,Sheet1!$M$5:$U$192,9,TRUE)))</f>
        <v/>
      </c>
      <c r="V121" s="132">
        <f>$D121-Sheet1!$M$3*$R121</f>
        <v>0.17849433808072313</v>
      </c>
      <c r="Z121" s="6"/>
      <c r="AA121" s="61"/>
    </row>
    <row r="122" spans="1:27" ht="13.5">
      <c r="A122" t="s">
        <v>1415</v>
      </c>
      <c r="B122">
        <v>4145152</v>
      </c>
      <c r="C122">
        <v>4153113</v>
      </c>
      <c r="D122" s="13">
        <f t="shared" si="3"/>
        <v>3.3217446039368301</v>
      </c>
      <c r="E122" s="61" t="s">
        <v>1931</v>
      </c>
      <c r="F122" s="65">
        <v>308.55303093123632</v>
      </c>
      <c r="G122" s="6">
        <v>1190</v>
      </c>
      <c r="H122" s="6">
        <v>1264</v>
      </c>
      <c r="I122" s="65">
        <v>8.7954680829611434</v>
      </c>
      <c r="J122" s="6">
        <f>VLOOKUP($D122,Sheet1!$A$5:$C$192,3,TRUE)</f>
        <v>1</v>
      </c>
      <c r="K122" s="42" t="str">
        <f>VLOOKUP($D122,Sheet1!$A$5:$C$192,2,TRUE)</f>
        <v>|(</v>
      </c>
      <c r="L122" s="6">
        <f>FLOOR(VLOOKUP($D122,Sheet1!$D$5:$F$192,3,TRUE),1)</f>
        <v>1</v>
      </c>
      <c r="M122" s="42" t="str">
        <f>VLOOKUP($D122,Sheet1!$D$5:$F$192,2,TRUE)</f>
        <v>)|</v>
      </c>
      <c r="N122" s="23">
        <f>FLOOR(VLOOKUP($D122,Sheet1!$G$5:$I$192,3,TRUE),1)</f>
        <v>2</v>
      </c>
      <c r="O122" s="42" t="str">
        <f>VLOOKUP($D122,Sheet1!$G$5:$I$192,2,TRUE)</f>
        <v>)|</v>
      </c>
      <c r="P122" s="23">
        <v>1</v>
      </c>
      <c r="Q122" s="43" t="str">
        <f>VLOOKUP($D122,Sheet1!$J$5:$L$192,2,TRUE)</f>
        <v>)|</v>
      </c>
      <c r="R122" s="23">
        <f>FLOOR(VLOOKUP($D122,Sheet1!$M$5:$O$192,3,TRUE),1)</f>
        <v>7</v>
      </c>
      <c r="S122" s="42" t="str">
        <f>VLOOKUP($D122,Sheet1!$M$5:$O$192,2,TRUE)</f>
        <v>)|</v>
      </c>
      <c r="T122" s="117">
        <f>IF(ABS(D122-VLOOKUP($D122,Sheet1!$M$5:$T$192,8,TRUE))&lt;10^-10,"SoCA",D122-VLOOKUP($D122,Sheet1!$M$5:$T$192,8,TRUE))</f>
        <v>-5.6274124528015612E-2</v>
      </c>
      <c r="U122" s="109" t="str">
        <f>IF(VLOOKUP($D122,Sheet1!$M$5:$U$192,9,TRUE)=0,"",IF(ABS(D122-VLOOKUP($D122,Sheet1!$M$5:$U$192,9,TRUE))&lt;10^-10,"Alt.",D122-VLOOKUP($D122,Sheet1!$M$5:$U$192,9,TRUE)))</f>
        <v/>
      </c>
      <c r="V122" s="132">
        <f>$D122-Sheet1!$M$3*$R122</f>
        <v>-9.3684762603871263E-2</v>
      </c>
      <c r="Z122" s="6"/>
      <c r="AA122" s="61"/>
    </row>
    <row r="123" spans="1:27" ht="13.5">
      <c r="A123" t="s">
        <v>906</v>
      </c>
      <c r="B123">
        <v>3585584</v>
      </c>
      <c r="C123">
        <v>3592737</v>
      </c>
      <c r="D123" s="13">
        <f t="shared" si="3"/>
        <v>3.4502556382601064</v>
      </c>
      <c r="E123" s="61" t="s">
        <v>1931</v>
      </c>
      <c r="F123" s="65">
        <v>18086.201787461836</v>
      </c>
      <c r="G123" s="6">
        <v>813</v>
      </c>
      <c r="H123" s="6">
        <v>754</v>
      </c>
      <c r="I123" s="65">
        <v>1.7875551903866711</v>
      </c>
      <c r="J123" s="6">
        <f>VLOOKUP($D123,Sheet1!$A$5:$C$192,3,TRUE)</f>
        <v>1</v>
      </c>
      <c r="K123" s="42" t="str">
        <f>VLOOKUP($D123,Sheet1!$A$5:$C$192,2,TRUE)</f>
        <v>|(</v>
      </c>
      <c r="L123" s="6">
        <f>FLOOR(VLOOKUP($D123,Sheet1!$D$5:$F$192,3,TRUE),1)</f>
        <v>1</v>
      </c>
      <c r="M123" s="42" t="str">
        <f>VLOOKUP($D123,Sheet1!$D$5:$F$192,2,TRUE)</f>
        <v>)|</v>
      </c>
      <c r="N123" s="23">
        <f>FLOOR(VLOOKUP($D123,Sheet1!$G$5:$I$192,3,TRUE),1)</f>
        <v>2</v>
      </c>
      <c r="O123" s="42" t="str">
        <f>VLOOKUP($D123,Sheet1!$G$5:$I$192,2,TRUE)</f>
        <v>)|</v>
      </c>
      <c r="P123" s="23">
        <v>1</v>
      </c>
      <c r="Q123" s="43" t="str">
        <f>VLOOKUP($D123,Sheet1!$J$5:$L$192,2,TRUE)</f>
        <v>)|</v>
      </c>
      <c r="R123" s="23">
        <f>FLOOR(VLOOKUP($D123,Sheet1!$M$5:$O$192,3,TRUE),1)</f>
        <v>7</v>
      </c>
      <c r="S123" s="42" t="str">
        <f>VLOOKUP($D123,Sheet1!$M$5:$O$192,2,TRUE)</f>
        <v>)|</v>
      </c>
      <c r="T123" s="117">
        <f>IF(ABS(D123-VLOOKUP($D123,Sheet1!$M$5:$T$192,8,TRUE))&lt;10^-10,"SoCA",D123-VLOOKUP($D123,Sheet1!$M$5:$T$192,8,TRUE))</f>
        <v>7.2236909795260651E-2</v>
      </c>
      <c r="U123" s="109" t="str">
        <f>IF(VLOOKUP($D123,Sheet1!$M$5:$U$192,9,TRUE)=0,"",IF(ABS(D123-VLOOKUP($D123,Sheet1!$M$5:$U$192,9,TRUE))&lt;10^-10,"Alt.",D123-VLOOKUP($D123,Sheet1!$M$5:$U$192,9,TRUE)))</f>
        <v/>
      </c>
      <c r="V123" s="132">
        <f>$D123-Sheet1!$M$3*$R123</f>
        <v>3.4826271719405E-2</v>
      </c>
      <c r="Z123" s="6"/>
      <c r="AA123" s="61"/>
    </row>
    <row r="124" spans="1:27" ht="13.5">
      <c r="A124" s="38" t="s">
        <v>21</v>
      </c>
      <c r="B124" s="38">
        <f>2^3*5*11</f>
        <v>440</v>
      </c>
      <c r="C124" s="38">
        <f>3^2*7^2</f>
        <v>441</v>
      </c>
      <c r="D124" s="13">
        <f t="shared" si="3"/>
        <v>3.9301584394330495</v>
      </c>
      <c r="E124" s="61">
        <v>11</v>
      </c>
      <c r="F124" s="65">
        <v>30.070669555141382</v>
      </c>
      <c r="G124" s="6">
        <v>61</v>
      </c>
      <c r="H124" s="6">
        <v>57</v>
      </c>
      <c r="I124" s="65">
        <v>1.7580058265373588</v>
      </c>
      <c r="J124" s="6">
        <f>VLOOKUP($D124,Sheet1!$A$5:$C$192,3,TRUE)</f>
        <v>1</v>
      </c>
      <c r="K124" s="42" t="str">
        <f>VLOOKUP($D124,Sheet1!$A$5:$C$192,2,TRUE)</f>
        <v>|(</v>
      </c>
      <c r="L124" s="6">
        <f>FLOOR(VLOOKUP($D124,Sheet1!$D$5:$F$192,3,TRUE),1)</f>
        <v>1</v>
      </c>
      <c r="M124" s="42" t="str">
        <f>VLOOKUP($D124,Sheet1!$D$5:$F$192,2,TRUE)</f>
        <v>)|</v>
      </c>
      <c r="N124" s="23">
        <f>FLOOR(VLOOKUP($D124,Sheet1!$G$5:$I$192,3,TRUE),1)</f>
        <v>2</v>
      </c>
      <c r="O124" s="42" t="str">
        <f>VLOOKUP($D124,Sheet1!$G$5:$I$192,2,TRUE)</f>
        <v>)|</v>
      </c>
      <c r="P124" s="23">
        <v>1</v>
      </c>
      <c r="Q124" s="45" t="str">
        <f>VLOOKUP($D124,Sheet1!$J$5:$L$192,2,TRUE)</f>
        <v>)|'</v>
      </c>
      <c r="R124" s="38">
        <f>FLOOR(VLOOKUP($D124,Sheet1!$M$5:$O$192,3,TRUE),1)</f>
        <v>8</v>
      </c>
      <c r="S124" s="45" t="str">
        <f>VLOOKUP($D124,Sheet1!$M$5:$O$192,2,TRUE)</f>
        <v>)|'</v>
      </c>
      <c r="T124" s="108">
        <f>IF(ABS(D124-VLOOKUP($D124,Sheet1!$M$5:$T$192,8,TRUE))&lt;10^-10,"SoCA",D124-VLOOKUP($D124,Sheet1!$M$5:$T$192,8,TRUE))</f>
        <v>0.12942354501337938</v>
      </c>
      <c r="U124" s="108">
        <f>IF(VLOOKUP($D124,Sheet1!$M$5:$U$192,9,TRUE)=0,"",IF(ABS(D124-VLOOKUP($D124,Sheet1!$M$5:$U$192,9,TRUE))&lt;10^-10,"Alt.",D124-VLOOKUP($D124,Sheet1!$M$5:$U$192,9,TRUE)))</f>
        <v>0.15638384021581375</v>
      </c>
      <c r="V124" s="133">
        <f>$D124-Sheet1!$M$3*$R124</f>
        <v>2.6810591957961982E-2</v>
      </c>
      <c r="Z124" s="6"/>
      <c r="AA124" s="61"/>
    </row>
    <row r="125" spans="1:27" ht="13.5">
      <c r="A125" s="6" t="s">
        <v>454</v>
      </c>
      <c r="B125" s="6">
        <f>2^6*5^3</f>
        <v>8000</v>
      </c>
      <c r="C125" s="6">
        <f>3^6*11</f>
        <v>8019</v>
      </c>
      <c r="D125" s="13">
        <f t="shared" si="3"/>
        <v>4.1068059625767894</v>
      </c>
      <c r="E125" s="61">
        <v>11</v>
      </c>
      <c r="F125" s="65">
        <v>37.483406514186093</v>
      </c>
      <c r="G125" s="6">
        <v>302</v>
      </c>
      <c r="H125" s="6">
        <v>292</v>
      </c>
      <c r="I125" s="65">
        <v>5.7471289949754336</v>
      </c>
      <c r="J125" s="6">
        <f>VLOOKUP($D125,Sheet1!$A$5:$C$192,3,TRUE)</f>
        <v>1</v>
      </c>
      <c r="K125" s="42" t="str">
        <f>VLOOKUP($D125,Sheet1!$A$5:$C$192,2,TRUE)</f>
        <v>|(</v>
      </c>
      <c r="L125" s="6">
        <f>FLOOR(VLOOKUP($D125,Sheet1!$D$5:$F$192,3,TRUE),1)</f>
        <v>1</v>
      </c>
      <c r="M125" s="42" t="str">
        <f>VLOOKUP($D125,Sheet1!$D$5:$F$192,2,TRUE)</f>
        <v>)|</v>
      </c>
      <c r="N125" s="23">
        <f>FLOOR(VLOOKUP($D125,Sheet1!$G$5:$I$192,3,TRUE),1)</f>
        <v>2</v>
      </c>
      <c r="O125" s="42" t="str">
        <f>VLOOKUP($D125,Sheet1!$G$5:$I$192,2,TRUE)</f>
        <v>)|</v>
      </c>
      <c r="P125" s="23">
        <v>1</v>
      </c>
      <c r="Q125" s="43" t="str">
        <f>VLOOKUP($D125,Sheet1!$J$5:$L$192,2,TRUE)</f>
        <v>)|'</v>
      </c>
      <c r="R125" s="23">
        <f>FLOOR(VLOOKUP($D125,Sheet1!$M$5:$O$192,3,TRUE),1)</f>
        <v>8</v>
      </c>
      <c r="S125" s="42" t="str">
        <f>VLOOKUP($D125,Sheet1!$M$5:$O$192,2,TRUE)</f>
        <v>)|'</v>
      </c>
      <c r="T125" s="117">
        <f>IF(ABS(D125-VLOOKUP($D125,Sheet1!$M$5:$T$192,8,TRUE))&lt;10^-10,"SoCA",D125-VLOOKUP($D125,Sheet1!$M$5:$T$192,8,TRUE))</f>
        <v>0.30607106815711926</v>
      </c>
      <c r="U125" s="109">
        <f>IF(VLOOKUP($D125,Sheet1!$M$5:$U$192,9,TRUE)=0,"",IF(ABS(D125-VLOOKUP($D125,Sheet1!$M$5:$U$192,9,TRUE))&lt;10^-10,"Alt.",D125-VLOOKUP($D125,Sheet1!$M$5:$U$192,9,TRUE)))</f>
        <v>0.33303136335955363</v>
      </c>
      <c r="V125" s="132">
        <f>$D125-Sheet1!$M$3*$R125</f>
        <v>0.20345811510170186</v>
      </c>
      <c r="Z125" s="6"/>
      <c r="AA125" s="61"/>
    </row>
    <row r="126" spans="1:27" ht="13.5">
      <c r="A126" s="23" t="s">
        <v>955</v>
      </c>
      <c r="B126" s="23">
        <f>2^18*5^2</f>
        <v>6553600</v>
      </c>
      <c r="C126" s="23">
        <f>3^8*7*11*13</f>
        <v>6567561</v>
      </c>
      <c r="D126" s="13">
        <f t="shared" si="3"/>
        <v>3.6840897966219508</v>
      </c>
      <c r="E126" s="61">
        <v>13</v>
      </c>
      <c r="F126" s="65">
        <v>54.132180281443553</v>
      </c>
      <c r="G126" s="6">
        <v>636</v>
      </c>
      <c r="H126" s="6">
        <v>803</v>
      </c>
      <c r="I126" s="65">
        <v>7.7731571693521122</v>
      </c>
      <c r="J126" s="6">
        <f>VLOOKUP($D126,Sheet1!$A$5:$C$192,3,TRUE)</f>
        <v>1</v>
      </c>
      <c r="K126" s="42" t="str">
        <f>VLOOKUP($D126,Sheet1!$A$5:$C$192,2,TRUE)</f>
        <v>|(</v>
      </c>
      <c r="L126" s="6">
        <f>FLOOR(VLOOKUP($D126,Sheet1!$D$5:$F$192,3,TRUE),1)</f>
        <v>1</v>
      </c>
      <c r="M126" s="42" t="str">
        <f>VLOOKUP($D126,Sheet1!$D$5:$F$192,2,TRUE)</f>
        <v>)|</v>
      </c>
      <c r="N126" s="23">
        <f>FLOOR(VLOOKUP($D126,Sheet1!$G$5:$I$192,3,TRUE),1)</f>
        <v>2</v>
      </c>
      <c r="O126" s="42" t="str">
        <f>VLOOKUP($D126,Sheet1!$G$5:$I$192,2,TRUE)</f>
        <v>)|</v>
      </c>
      <c r="P126" s="23">
        <v>1</v>
      </c>
      <c r="Q126" s="43" t="str">
        <f>VLOOKUP($D126,Sheet1!$J$5:$L$192,2,TRUE)</f>
        <v>)|'</v>
      </c>
      <c r="R126" s="23">
        <f>FLOOR(VLOOKUP($D126,Sheet1!$M$5:$O$192,3,TRUE),1)</f>
        <v>8</v>
      </c>
      <c r="S126" s="43" t="str">
        <f>VLOOKUP($D126,Sheet1!$M$5:$O$192,2,TRUE)</f>
        <v>)|'</v>
      </c>
      <c r="T126" s="117">
        <f>IF(ABS(D126-VLOOKUP($D126,Sheet1!$M$5:$T$192,8,TRUE))&lt;10^-10,"SoCA",D126-VLOOKUP($D126,Sheet1!$M$5:$T$192,8,TRUE))</f>
        <v>-0.11664509779771937</v>
      </c>
      <c r="U126" s="109">
        <f>IF(VLOOKUP($D126,Sheet1!$M$5:$U$192,9,TRUE)=0,"",IF(ABS(D126-VLOOKUP($D126,Sheet1!$M$5:$U$192,9,TRUE))&lt;10^-10,"Alt.",D126-VLOOKUP($D126,Sheet1!$M$5:$U$192,9,TRUE)))</f>
        <v>-8.9684802595284996E-2</v>
      </c>
      <c r="V126" s="132">
        <f>$D126-Sheet1!$M$3*$R126</f>
        <v>-0.21925805085313677</v>
      </c>
      <c r="Z126" s="6"/>
      <c r="AA126" s="61"/>
    </row>
    <row r="127" spans="1:27" ht="13.5">
      <c r="A127" s="23" t="s">
        <v>1941</v>
      </c>
      <c r="B127" s="23">
        <f>2^2*7^3</f>
        <v>1372</v>
      </c>
      <c r="C127" s="23">
        <f>5^3*11</f>
        <v>1375</v>
      </c>
      <c r="D127" s="13">
        <f t="shared" si="3"/>
        <v>3.7813645518865004</v>
      </c>
      <c r="E127" s="22">
        <v>11</v>
      </c>
      <c r="F127" s="65">
        <v>56.42338217948766</v>
      </c>
      <c r="G127" s="18">
        <v>2000000</v>
      </c>
      <c r="H127" s="18">
        <v>2000000</v>
      </c>
      <c r="I127" s="65">
        <v>-0.23283239172075423</v>
      </c>
      <c r="J127" s="6">
        <f>VLOOKUP($D127,Sheet1!$A$5:$C$192,3,TRUE)</f>
        <v>1</v>
      </c>
      <c r="K127" s="42" t="str">
        <f>VLOOKUP($D127,Sheet1!$A$5:$C$192,2,TRUE)</f>
        <v>|(</v>
      </c>
      <c r="L127" s="6">
        <f>FLOOR(VLOOKUP($D127,Sheet1!$D$5:$F$192,3,TRUE),1)</f>
        <v>1</v>
      </c>
      <c r="M127" s="42" t="str">
        <f>VLOOKUP($D127,Sheet1!$D$5:$F$192,2,TRUE)</f>
        <v>)|</v>
      </c>
      <c r="N127" s="23">
        <f>FLOOR(VLOOKUP($D127,Sheet1!$G$5:$I$192,3,TRUE),1)</f>
        <v>2</v>
      </c>
      <c r="O127" s="42" t="str">
        <f>VLOOKUP($D127,Sheet1!$G$5:$I$192,2,TRUE)</f>
        <v>)|</v>
      </c>
      <c r="P127" s="23">
        <v>1</v>
      </c>
      <c r="Q127" s="43" t="str">
        <f>VLOOKUP($D127,Sheet1!$J$5:$L$192,2,TRUE)</f>
        <v>)|'</v>
      </c>
      <c r="R127" s="23">
        <f>FLOOR(VLOOKUP($D127,Sheet1!$M$5:$O$192,3,TRUE),1)</f>
        <v>8</v>
      </c>
      <c r="S127" s="43" t="str">
        <f>VLOOKUP($D127,Sheet1!$M$5:$O$192,2,TRUE)</f>
        <v>)|'</v>
      </c>
      <c r="T127" s="117">
        <f>IF(ABS(D127-VLOOKUP($D127,Sheet1!$M$5:$T$192,8,TRUE))&lt;10^-10,"SoCA",D127-VLOOKUP($D127,Sheet1!$M$5:$T$192,8,TRUE))</f>
        <v>-1.9370342533169715E-2</v>
      </c>
      <c r="U127" s="117">
        <f>IF(VLOOKUP($D127,Sheet1!$M$5:$U$192,9,TRUE)=0,"",IF(ABS(D127-VLOOKUP($D127,Sheet1!$M$5:$U$192,9,TRUE))&lt;10^-10,"Alt.",D127-VLOOKUP($D127,Sheet1!$M$5:$U$192,9,TRUE)))</f>
        <v>7.5899526692646546E-3</v>
      </c>
      <c r="V127" s="132">
        <f>$D127-Sheet1!$M$3*$R127</f>
        <v>-0.12198329558858712</v>
      </c>
      <c r="Z127" s="6"/>
      <c r="AA127" s="61"/>
    </row>
    <row r="128" spans="1:27" ht="13.5">
      <c r="A128" s="6" t="s">
        <v>1542</v>
      </c>
      <c r="B128" s="18">
        <f>3^8*5^6</f>
        <v>102515625</v>
      </c>
      <c r="C128" s="18">
        <f>2^21*7^2</f>
        <v>102760448</v>
      </c>
      <c r="D128" s="13">
        <f t="shared" si="3"/>
        <v>4.1295228261416801</v>
      </c>
      <c r="E128" s="61">
        <v>7</v>
      </c>
      <c r="F128" s="65">
        <v>85.136291560180439</v>
      </c>
      <c r="G128" s="6">
        <v>1446</v>
      </c>
      <c r="H128" s="6">
        <v>1391</v>
      </c>
      <c r="I128" s="65">
        <v>-8.2542697650762964</v>
      </c>
      <c r="J128" s="6">
        <f>VLOOKUP($D128,Sheet1!$A$5:$C$192,3,TRUE)</f>
        <v>1</v>
      </c>
      <c r="K128" s="42" t="str">
        <f>VLOOKUP($D128,Sheet1!$A$5:$C$192,2,TRUE)</f>
        <v>|(</v>
      </c>
      <c r="L128" s="6">
        <f>FLOOR(VLOOKUP($D128,Sheet1!$D$5:$F$192,3,TRUE),1)</f>
        <v>1</v>
      </c>
      <c r="M128" s="42" t="str">
        <f>VLOOKUP($D128,Sheet1!$D$5:$F$192,2,TRUE)</f>
        <v>)|</v>
      </c>
      <c r="N128" s="23">
        <f>FLOOR(VLOOKUP($D128,Sheet1!$G$5:$I$192,3,TRUE),1)</f>
        <v>2</v>
      </c>
      <c r="O128" s="42" t="str">
        <f>VLOOKUP($D128,Sheet1!$G$5:$I$192,2,TRUE)</f>
        <v>)|</v>
      </c>
      <c r="P128" s="23">
        <v>1</v>
      </c>
      <c r="Q128" s="43" t="str">
        <f>VLOOKUP($D128,Sheet1!$J$5:$L$192,2,TRUE)</f>
        <v>)|'</v>
      </c>
      <c r="R128" s="23">
        <f>FLOOR(VLOOKUP($D128,Sheet1!$M$5:$O$192,3,TRUE),1)</f>
        <v>8</v>
      </c>
      <c r="S128" s="42" t="str">
        <f>VLOOKUP($D128,Sheet1!$M$5:$O$192,2,TRUE)</f>
        <v>)|'</v>
      </c>
      <c r="T128" s="117">
        <f>IF(ABS(D128-VLOOKUP($D128,Sheet1!$M$5:$T$192,8,TRUE))&lt;10^-10,"SoCA",D128-VLOOKUP($D128,Sheet1!$M$5:$T$192,8,TRUE))</f>
        <v>0.32878793172200993</v>
      </c>
      <c r="U128" s="109">
        <f>IF(VLOOKUP($D128,Sheet1!$M$5:$U$192,9,TRUE)=0,"",IF(ABS(D128-VLOOKUP($D128,Sheet1!$M$5:$U$192,9,TRUE))&lt;10^-10,"Alt.",D128-VLOOKUP($D128,Sheet1!$M$5:$U$192,9,TRUE)))</f>
        <v>0.3557482269244443</v>
      </c>
      <c r="V128" s="132">
        <f>$D128-Sheet1!$M$3*$R128</f>
        <v>0.22617497866659253</v>
      </c>
      <c r="Z128" s="6"/>
      <c r="AA128" s="61"/>
    </row>
    <row r="129" spans="1:27" ht="13.5">
      <c r="A129" t="s">
        <v>1092</v>
      </c>
      <c r="B129">
        <v>124659</v>
      </c>
      <c r="C129">
        <v>124928</v>
      </c>
      <c r="D129" s="13">
        <f t="shared" si="3"/>
        <v>3.7317820200614356</v>
      </c>
      <c r="E129" s="61" t="s">
        <v>1931</v>
      </c>
      <c r="F129" s="65">
        <v>86.770040731637721</v>
      </c>
      <c r="G129" s="6">
        <v>671</v>
      </c>
      <c r="H129" s="6">
        <v>941</v>
      </c>
      <c r="I129" s="65">
        <v>-8.2297794145972869</v>
      </c>
      <c r="J129" s="6">
        <f>VLOOKUP($D129,Sheet1!$A$5:$C$192,3,TRUE)</f>
        <v>1</v>
      </c>
      <c r="K129" s="42" t="str">
        <f>VLOOKUP($D129,Sheet1!$A$5:$C$192,2,TRUE)</f>
        <v>|(</v>
      </c>
      <c r="L129" s="6">
        <f>FLOOR(VLOOKUP($D129,Sheet1!$D$5:$F$192,3,TRUE),1)</f>
        <v>1</v>
      </c>
      <c r="M129" s="42" t="str">
        <f>VLOOKUP($D129,Sheet1!$D$5:$F$192,2,TRUE)</f>
        <v>)|</v>
      </c>
      <c r="N129" s="23">
        <f>FLOOR(VLOOKUP($D129,Sheet1!$G$5:$I$192,3,TRUE),1)</f>
        <v>2</v>
      </c>
      <c r="O129" s="42" t="str">
        <f>VLOOKUP($D129,Sheet1!$G$5:$I$192,2,TRUE)</f>
        <v>)|</v>
      </c>
      <c r="P129" s="23">
        <v>1</v>
      </c>
      <c r="Q129" s="43" t="str">
        <f>VLOOKUP($D129,Sheet1!$J$5:$L$192,2,TRUE)</f>
        <v>)|'</v>
      </c>
      <c r="R129" s="23">
        <f>FLOOR(VLOOKUP($D129,Sheet1!$M$5:$O$192,3,TRUE),1)</f>
        <v>8</v>
      </c>
      <c r="S129" s="42" t="str">
        <f>VLOOKUP($D129,Sheet1!$M$5:$O$192,2,TRUE)</f>
        <v>)|'</v>
      </c>
      <c r="T129" s="117">
        <f>IF(ABS(D129-VLOOKUP($D129,Sheet1!$M$5:$T$192,8,TRUE))&lt;10^-10,"SoCA",D129-VLOOKUP($D129,Sheet1!$M$5:$T$192,8,TRUE))</f>
        <v>-6.8952874358234606E-2</v>
      </c>
      <c r="U129" s="109">
        <f>IF(VLOOKUP($D129,Sheet1!$M$5:$U$192,9,TRUE)=0,"",IF(ABS(D129-VLOOKUP($D129,Sheet1!$M$5:$U$192,9,TRUE))&lt;10^-10,"Alt.",D129-VLOOKUP($D129,Sheet1!$M$5:$U$192,9,TRUE)))</f>
        <v>-4.1992579155800236E-2</v>
      </c>
      <c r="V129" s="132">
        <f>$D129-Sheet1!$M$3*$R129</f>
        <v>-0.17156582741365201</v>
      </c>
      <c r="Z129" s="6"/>
      <c r="AA129" s="61"/>
    </row>
    <row r="130" spans="1:27" ht="13.5">
      <c r="A130" t="s">
        <v>460</v>
      </c>
      <c r="B130">
        <v>423</v>
      </c>
      <c r="C130">
        <v>424</v>
      </c>
      <c r="D130" s="13">
        <f t="shared" si="3"/>
        <v>4.0879217318991472</v>
      </c>
      <c r="E130" s="61" t="s">
        <v>1931</v>
      </c>
      <c r="F130" s="65">
        <v>100.11193875580901</v>
      </c>
      <c r="G130" s="6">
        <v>336</v>
      </c>
      <c r="H130" s="6">
        <v>298</v>
      </c>
      <c r="I130" s="65">
        <v>-2.2517082341427459</v>
      </c>
      <c r="J130" s="6">
        <f>VLOOKUP($D130,Sheet1!$A$5:$C$192,3,TRUE)</f>
        <v>1</v>
      </c>
      <c r="K130" s="42" t="str">
        <f>VLOOKUP($D130,Sheet1!$A$5:$C$192,2,TRUE)</f>
        <v>|(</v>
      </c>
      <c r="L130" s="6">
        <f>FLOOR(VLOOKUP($D130,Sheet1!$D$5:$F$192,3,TRUE),1)</f>
        <v>1</v>
      </c>
      <c r="M130" s="42" t="str">
        <f>VLOOKUP($D130,Sheet1!$D$5:$F$192,2,TRUE)</f>
        <v>)|</v>
      </c>
      <c r="N130" s="23">
        <f>FLOOR(VLOOKUP($D130,Sheet1!$G$5:$I$192,3,TRUE),1)</f>
        <v>2</v>
      </c>
      <c r="O130" s="42" t="str">
        <f>VLOOKUP($D130,Sheet1!$G$5:$I$192,2,TRUE)</f>
        <v>)|</v>
      </c>
      <c r="P130" s="23">
        <v>1</v>
      </c>
      <c r="Q130" s="43" t="str">
        <f>VLOOKUP($D130,Sheet1!$J$5:$L$192,2,TRUE)</f>
        <v>)|'</v>
      </c>
      <c r="R130" s="23">
        <f>FLOOR(VLOOKUP($D130,Sheet1!$M$5:$O$192,3,TRUE),1)</f>
        <v>8</v>
      </c>
      <c r="S130" s="42" t="str">
        <f>VLOOKUP($D130,Sheet1!$M$5:$O$192,2,TRUE)</f>
        <v>)|'</v>
      </c>
      <c r="T130" s="117">
        <f>IF(ABS(D130-VLOOKUP($D130,Sheet1!$M$5:$T$192,8,TRUE))&lt;10^-10,"SoCA",D130-VLOOKUP($D130,Sheet1!$M$5:$T$192,8,TRUE))</f>
        <v>0.28718683747947704</v>
      </c>
      <c r="U130" s="109">
        <f>IF(VLOOKUP($D130,Sheet1!$M$5:$U$192,9,TRUE)=0,"",IF(ABS(D130-VLOOKUP($D130,Sheet1!$M$5:$U$192,9,TRUE))&lt;10^-10,"Alt.",D130-VLOOKUP($D130,Sheet1!$M$5:$U$192,9,TRUE)))</f>
        <v>0.31414713268191141</v>
      </c>
      <c r="V130" s="132">
        <f>$D130-Sheet1!$M$3*$R130</f>
        <v>0.18457388442405964</v>
      </c>
      <c r="Z130" s="6"/>
      <c r="AA130" s="61"/>
    </row>
    <row r="131" spans="1:27" ht="13.5">
      <c r="A131" t="s">
        <v>1447</v>
      </c>
      <c r="B131">
        <v>5242880</v>
      </c>
      <c r="C131">
        <v>5255361</v>
      </c>
      <c r="D131" s="13">
        <f t="shared" ref="D131:D162" si="4">1200*LN($C131/$B131)/LN(2)</f>
        <v>4.1164119487165891</v>
      </c>
      <c r="E131" s="61" t="s">
        <v>1931</v>
      </c>
      <c r="F131" s="65">
        <v>117.73981388143648</v>
      </c>
      <c r="G131" s="6">
        <v>941</v>
      </c>
      <c r="H131" s="6">
        <v>1296</v>
      </c>
      <c r="I131" s="65">
        <v>9.7465375194122927</v>
      </c>
      <c r="J131" s="6">
        <f>VLOOKUP($D131,Sheet1!$A$5:$C$192,3,TRUE)</f>
        <v>1</v>
      </c>
      <c r="K131" s="42" t="str">
        <f>VLOOKUP($D131,Sheet1!$A$5:$C$192,2,TRUE)</f>
        <v>|(</v>
      </c>
      <c r="L131" s="6">
        <f>FLOOR(VLOOKUP($D131,Sheet1!$D$5:$F$192,3,TRUE),1)</f>
        <v>1</v>
      </c>
      <c r="M131" s="42" t="str">
        <f>VLOOKUP($D131,Sheet1!$D$5:$F$192,2,TRUE)</f>
        <v>)|</v>
      </c>
      <c r="N131" s="23">
        <f>FLOOR(VLOOKUP($D131,Sheet1!$G$5:$I$192,3,TRUE),1)</f>
        <v>2</v>
      </c>
      <c r="O131" s="42" t="str">
        <f>VLOOKUP($D131,Sheet1!$G$5:$I$192,2,TRUE)</f>
        <v>)|</v>
      </c>
      <c r="P131" s="23">
        <v>1</v>
      </c>
      <c r="Q131" s="43" t="str">
        <f>VLOOKUP($D131,Sheet1!$J$5:$L$192,2,TRUE)</f>
        <v>)|'</v>
      </c>
      <c r="R131" s="23">
        <f>FLOOR(VLOOKUP($D131,Sheet1!$M$5:$O$192,3,TRUE),1)</f>
        <v>8</v>
      </c>
      <c r="S131" s="42" t="str">
        <f>VLOOKUP($D131,Sheet1!$M$5:$O$192,2,TRUE)</f>
        <v>)|'</v>
      </c>
      <c r="T131" s="117">
        <f>IF(ABS(D131-VLOOKUP($D131,Sheet1!$M$5:$T$192,8,TRUE))&lt;10^-10,"SoCA",D131-VLOOKUP($D131,Sheet1!$M$5:$T$192,8,TRUE))</f>
        <v>0.31567705429691895</v>
      </c>
      <c r="U131" s="109">
        <f>IF(VLOOKUP($D131,Sheet1!$M$5:$U$192,9,TRUE)=0,"",IF(ABS(D131-VLOOKUP($D131,Sheet1!$M$5:$U$192,9,TRUE))&lt;10^-10,"Alt.",D131-VLOOKUP($D131,Sheet1!$M$5:$U$192,9,TRUE)))</f>
        <v>0.34263734949935332</v>
      </c>
      <c r="V131" s="132">
        <f>$D131-Sheet1!$M$3*$R131</f>
        <v>0.21306410124150155</v>
      </c>
      <c r="Z131" s="6"/>
      <c r="AA131" s="61"/>
    </row>
    <row r="132" spans="1:27" ht="13.5">
      <c r="A132" t="s">
        <v>1249</v>
      </c>
      <c r="B132">
        <v>25029</v>
      </c>
      <c r="C132">
        <v>25088</v>
      </c>
      <c r="D132" s="13">
        <f t="shared" si="4"/>
        <v>4.0761759914508033</v>
      </c>
      <c r="E132" s="61" t="s">
        <v>1931</v>
      </c>
      <c r="F132" s="65">
        <v>141.32510539967413</v>
      </c>
      <c r="G132" s="6">
        <v>1156</v>
      </c>
      <c r="H132" s="6">
        <v>1098</v>
      </c>
      <c r="I132" s="65">
        <v>-5.2509850061112786</v>
      </c>
      <c r="J132" s="6">
        <f>VLOOKUP($D132,Sheet1!$A$5:$C$192,3,TRUE)</f>
        <v>1</v>
      </c>
      <c r="K132" s="42" t="str">
        <f>VLOOKUP($D132,Sheet1!$A$5:$C$192,2,TRUE)</f>
        <v>|(</v>
      </c>
      <c r="L132" s="6">
        <f>FLOOR(VLOOKUP($D132,Sheet1!$D$5:$F$192,3,TRUE),1)</f>
        <v>1</v>
      </c>
      <c r="M132" s="42" t="str">
        <f>VLOOKUP($D132,Sheet1!$D$5:$F$192,2,TRUE)</f>
        <v>)|</v>
      </c>
      <c r="N132" s="23">
        <f>FLOOR(VLOOKUP($D132,Sheet1!$G$5:$I$192,3,TRUE),1)</f>
        <v>2</v>
      </c>
      <c r="O132" s="42" t="str">
        <f>VLOOKUP($D132,Sheet1!$G$5:$I$192,2,TRUE)</f>
        <v>)|</v>
      </c>
      <c r="P132" s="23">
        <v>1</v>
      </c>
      <c r="Q132" s="43" t="str">
        <f>VLOOKUP($D132,Sheet1!$J$5:$L$192,2,TRUE)</f>
        <v>)|'</v>
      </c>
      <c r="R132" s="23">
        <f>FLOOR(VLOOKUP($D132,Sheet1!$M$5:$O$192,3,TRUE),1)</f>
        <v>8</v>
      </c>
      <c r="S132" s="42" t="str">
        <f>VLOOKUP($D132,Sheet1!$M$5:$O$192,2,TRUE)</f>
        <v>)|'</v>
      </c>
      <c r="T132" s="117">
        <f>IF(ABS(D132-VLOOKUP($D132,Sheet1!$M$5:$T$192,8,TRUE))&lt;10^-10,"SoCA",D132-VLOOKUP($D132,Sheet1!$M$5:$T$192,8,TRUE))</f>
        <v>0.27544109703113318</v>
      </c>
      <c r="U132" s="109">
        <f>IF(VLOOKUP($D132,Sheet1!$M$5:$U$192,9,TRUE)=0,"",IF(ABS(D132-VLOOKUP($D132,Sheet1!$M$5:$U$192,9,TRUE))&lt;10^-10,"Alt.",D132-VLOOKUP($D132,Sheet1!$M$5:$U$192,9,TRUE)))</f>
        <v>0.30240139223356755</v>
      </c>
      <c r="V132" s="132">
        <f>$D132-Sheet1!$M$3*$R132</f>
        <v>0.17282814397571578</v>
      </c>
      <c r="Z132" s="6"/>
      <c r="AA132" s="61"/>
    </row>
    <row r="133" spans="1:27" ht="13.5">
      <c r="A133" t="s">
        <v>843</v>
      </c>
      <c r="B133">
        <v>435</v>
      </c>
      <c r="C133">
        <v>436</v>
      </c>
      <c r="D133" s="13">
        <f t="shared" si="4"/>
        <v>3.9752808490027309</v>
      </c>
      <c r="E133" s="61" t="s">
        <v>1931</v>
      </c>
      <c r="F133" s="65">
        <v>171.66006924616107</v>
      </c>
      <c r="G133" s="6">
        <v>722</v>
      </c>
      <c r="H133" s="6">
        <v>690</v>
      </c>
      <c r="I133" s="65">
        <v>-1.2447725246097345</v>
      </c>
      <c r="J133" s="6">
        <f>VLOOKUP($D133,Sheet1!$A$5:$C$192,3,TRUE)</f>
        <v>1</v>
      </c>
      <c r="K133" s="42" t="str">
        <f>VLOOKUP($D133,Sheet1!$A$5:$C$192,2,TRUE)</f>
        <v>|(</v>
      </c>
      <c r="L133" s="6">
        <f>FLOOR(VLOOKUP($D133,Sheet1!$D$5:$F$192,3,TRUE),1)</f>
        <v>1</v>
      </c>
      <c r="M133" s="42" t="str">
        <f>VLOOKUP($D133,Sheet1!$D$5:$F$192,2,TRUE)</f>
        <v>)|</v>
      </c>
      <c r="N133" s="23">
        <f>FLOOR(VLOOKUP($D133,Sheet1!$G$5:$I$192,3,TRUE),1)</f>
        <v>2</v>
      </c>
      <c r="O133" s="42" t="str">
        <f>VLOOKUP($D133,Sheet1!$G$5:$I$192,2,TRUE)</f>
        <v>)|</v>
      </c>
      <c r="P133" s="23">
        <v>1</v>
      </c>
      <c r="Q133" s="43" t="str">
        <f>VLOOKUP($D133,Sheet1!$J$5:$L$192,2,TRUE)</f>
        <v>)|'</v>
      </c>
      <c r="R133" s="23">
        <f>FLOOR(VLOOKUP($D133,Sheet1!$M$5:$O$192,3,TRUE),1)</f>
        <v>8</v>
      </c>
      <c r="S133" s="42" t="str">
        <f>VLOOKUP($D133,Sheet1!$M$5:$O$192,2,TRUE)</f>
        <v>)|'</v>
      </c>
      <c r="T133" s="117">
        <f>IF(ABS(D133-VLOOKUP($D133,Sheet1!$M$5:$T$192,8,TRUE))&lt;10^-10,"SoCA",D133-VLOOKUP($D133,Sheet1!$M$5:$T$192,8,TRUE))</f>
        <v>0.17454595458306077</v>
      </c>
      <c r="U133" s="109">
        <f>IF(VLOOKUP($D133,Sheet1!$M$5:$U$192,9,TRUE)=0,"",IF(ABS(D133-VLOOKUP($D133,Sheet1!$M$5:$U$192,9,TRUE))&lt;10^-10,"Alt.",D133-VLOOKUP($D133,Sheet1!$M$5:$U$192,9,TRUE)))</f>
        <v>0.20150624978549514</v>
      </c>
      <c r="V133" s="132">
        <f>$D133-Sheet1!$M$3*$R133</f>
        <v>7.193300152764337E-2</v>
      </c>
      <c r="Z133" s="6"/>
      <c r="AA133" s="61"/>
    </row>
    <row r="134" spans="1:27" ht="13.5">
      <c r="A134" t="s">
        <v>1201</v>
      </c>
      <c r="B134">
        <v>9940</v>
      </c>
      <c r="C134">
        <v>9963</v>
      </c>
      <c r="D134" s="13">
        <f t="shared" si="4"/>
        <v>4.0012461290594317</v>
      </c>
      <c r="E134" s="61" t="s">
        <v>1931</v>
      </c>
      <c r="F134" s="65">
        <v>174.38783502660837</v>
      </c>
      <c r="G134" s="6">
        <v>1108</v>
      </c>
      <c r="H134" s="6">
        <v>1050</v>
      </c>
      <c r="I134" s="65">
        <v>4.753628698500509</v>
      </c>
      <c r="J134" s="6">
        <f>VLOOKUP($D134,Sheet1!$A$5:$C$192,3,TRUE)</f>
        <v>1</v>
      </c>
      <c r="K134" s="42" t="str">
        <f>VLOOKUP($D134,Sheet1!$A$5:$C$192,2,TRUE)</f>
        <v>|(</v>
      </c>
      <c r="L134" s="6">
        <f>FLOOR(VLOOKUP($D134,Sheet1!$D$5:$F$192,3,TRUE),1)</f>
        <v>1</v>
      </c>
      <c r="M134" s="42" t="str">
        <f>VLOOKUP($D134,Sheet1!$D$5:$F$192,2,TRUE)</f>
        <v>)|</v>
      </c>
      <c r="N134" s="23">
        <f>FLOOR(VLOOKUP($D134,Sheet1!$G$5:$I$192,3,TRUE),1)</f>
        <v>2</v>
      </c>
      <c r="O134" s="42" t="str">
        <f>VLOOKUP($D134,Sheet1!$G$5:$I$192,2,TRUE)</f>
        <v>)|</v>
      </c>
      <c r="P134" s="23">
        <v>1</v>
      </c>
      <c r="Q134" s="43" t="str">
        <f>VLOOKUP($D134,Sheet1!$J$5:$L$192,2,TRUE)</f>
        <v>)|'</v>
      </c>
      <c r="R134" s="23">
        <f>FLOOR(VLOOKUP($D134,Sheet1!$M$5:$O$192,3,TRUE),1)</f>
        <v>8</v>
      </c>
      <c r="S134" s="42" t="str">
        <f>VLOOKUP($D134,Sheet1!$M$5:$O$192,2,TRUE)</f>
        <v>)|'</v>
      </c>
      <c r="T134" s="117">
        <f>IF(ABS(D134-VLOOKUP($D134,Sheet1!$M$5:$T$192,8,TRUE))&lt;10^-10,"SoCA",D134-VLOOKUP($D134,Sheet1!$M$5:$T$192,8,TRUE))</f>
        <v>0.2005112346397615</v>
      </c>
      <c r="U134" s="109">
        <f>IF(VLOOKUP($D134,Sheet1!$M$5:$U$192,9,TRUE)=0,"",IF(ABS(D134-VLOOKUP($D134,Sheet1!$M$5:$U$192,9,TRUE))&lt;10^-10,"Alt.",D134-VLOOKUP($D134,Sheet1!$M$5:$U$192,9,TRUE)))</f>
        <v>0.22747152984219587</v>
      </c>
      <c r="V134" s="132">
        <f>$D134-Sheet1!$M$3*$R134</f>
        <v>9.7898281584344105E-2</v>
      </c>
      <c r="Z134" s="6"/>
      <c r="AA134" s="61"/>
    </row>
    <row r="135" spans="1:27" ht="13.5">
      <c r="A135" s="23" t="s">
        <v>1937</v>
      </c>
      <c r="B135" s="17">
        <f>3^14*7</f>
        <v>33480783</v>
      </c>
      <c r="C135" s="17">
        <f>2^25</f>
        <v>33554432</v>
      </c>
      <c r="D135" s="13">
        <f t="shared" si="4"/>
        <v>3.8040814154511366</v>
      </c>
      <c r="E135" s="61">
        <v>7</v>
      </c>
      <c r="F135" s="65">
        <v>224.79844500370911</v>
      </c>
      <c r="G135" s="18">
        <v>2000000</v>
      </c>
      <c r="H135" s="18">
        <v>2000000</v>
      </c>
      <c r="I135" s="71">
        <v>116.96341150456114</v>
      </c>
      <c r="J135" s="6">
        <f>VLOOKUP($D135,Sheet1!$A$5:$C$192,3,TRUE)</f>
        <v>1</v>
      </c>
      <c r="K135" s="42" t="str">
        <f>VLOOKUP($D135,Sheet1!$A$5:$C$192,2,TRUE)</f>
        <v>|(</v>
      </c>
      <c r="L135" s="6">
        <f>FLOOR(VLOOKUP($D135,Sheet1!$D$5:$F$192,3,TRUE),1)</f>
        <v>1</v>
      </c>
      <c r="M135" s="42" t="str">
        <f>VLOOKUP($D135,Sheet1!$D$5:$F$192,2,TRUE)</f>
        <v>)|</v>
      </c>
      <c r="N135" s="23">
        <f>FLOOR(VLOOKUP($D135,Sheet1!$G$5:$I$192,3,TRUE),1)</f>
        <v>2</v>
      </c>
      <c r="O135" s="42" t="str">
        <f>VLOOKUP($D135,Sheet1!$G$5:$I$192,2,TRUE)</f>
        <v>)|</v>
      </c>
      <c r="P135" s="23">
        <v>1</v>
      </c>
      <c r="Q135" s="43" t="str">
        <f>VLOOKUP($D135,Sheet1!$J$5:$L$192,2,TRUE)</f>
        <v>)|'</v>
      </c>
      <c r="R135" s="23">
        <f>FLOOR(VLOOKUP($D135,Sheet1!$M$5:$O$192,3,TRUE),1)</f>
        <v>8</v>
      </c>
      <c r="S135" s="43" t="str">
        <f>VLOOKUP($D135,Sheet1!$M$5:$O$192,2,TRUE)</f>
        <v>)|'</v>
      </c>
      <c r="T135" s="117">
        <f>IF(ABS(D135-VLOOKUP($D135,Sheet1!$M$5:$T$192,8,TRUE))&lt;10^-10,"SoCA",D135-VLOOKUP($D135,Sheet1!$M$5:$T$192,8,TRUE))</f>
        <v>3.3465210314664873E-3</v>
      </c>
      <c r="U135" s="117">
        <f>IF(VLOOKUP($D135,Sheet1!$M$5:$U$192,9,TRUE)=0,"",IF(ABS(D135-VLOOKUP($D135,Sheet1!$M$5:$U$192,9,TRUE))&lt;10^-10,"Alt.",D135-VLOOKUP($D135,Sheet1!$M$5:$U$192,9,TRUE)))</f>
        <v>3.0306816233900857E-2</v>
      </c>
      <c r="V135" s="132">
        <f>$D135-Sheet1!$M$3*$R135</f>
        <v>-9.9266432023950912E-2</v>
      </c>
      <c r="Z135" s="6"/>
      <c r="AA135" s="61"/>
    </row>
    <row r="136" spans="1:27" ht="13.5">
      <c r="A136" t="s">
        <v>1007</v>
      </c>
      <c r="B136">
        <v>458</v>
      </c>
      <c r="C136">
        <v>459</v>
      </c>
      <c r="D136" s="13">
        <f t="shared" si="4"/>
        <v>3.7758663802367294</v>
      </c>
      <c r="E136" s="61" t="s">
        <v>1931</v>
      </c>
      <c r="F136" s="65">
        <v>246.2255284246377</v>
      </c>
      <c r="G136" s="6">
        <v>920</v>
      </c>
      <c r="H136" s="6">
        <v>855</v>
      </c>
      <c r="I136" s="65">
        <v>2.7675061507386522</v>
      </c>
      <c r="J136" s="6">
        <f>VLOOKUP($D136,Sheet1!$A$5:$C$192,3,TRUE)</f>
        <v>1</v>
      </c>
      <c r="K136" s="42" t="str">
        <f>VLOOKUP($D136,Sheet1!$A$5:$C$192,2,TRUE)</f>
        <v>|(</v>
      </c>
      <c r="L136" s="6">
        <f>FLOOR(VLOOKUP($D136,Sheet1!$D$5:$F$192,3,TRUE),1)</f>
        <v>1</v>
      </c>
      <c r="M136" s="42" t="str">
        <f>VLOOKUP($D136,Sheet1!$D$5:$F$192,2,TRUE)</f>
        <v>)|</v>
      </c>
      <c r="N136" s="23">
        <f>FLOOR(VLOOKUP($D136,Sheet1!$G$5:$I$192,3,TRUE),1)</f>
        <v>2</v>
      </c>
      <c r="O136" s="42" t="str">
        <f>VLOOKUP($D136,Sheet1!$G$5:$I$192,2,TRUE)</f>
        <v>)|</v>
      </c>
      <c r="P136" s="23">
        <v>1</v>
      </c>
      <c r="Q136" s="43" t="str">
        <f>VLOOKUP($D136,Sheet1!$J$5:$L$192,2,TRUE)</f>
        <v>)|'</v>
      </c>
      <c r="R136" s="23">
        <f>FLOOR(VLOOKUP($D136,Sheet1!$M$5:$O$192,3,TRUE),1)</f>
        <v>8</v>
      </c>
      <c r="S136" s="42" t="str">
        <f>VLOOKUP($D136,Sheet1!$M$5:$O$192,2,TRUE)</f>
        <v>)|'</v>
      </c>
      <c r="T136" s="117">
        <f>IF(ABS(D136-VLOOKUP($D136,Sheet1!$M$5:$T$192,8,TRUE))&lt;10^-10,"SoCA",D136-VLOOKUP($D136,Sheet1!$M$5:$T$192,8,TRUE))</f>
        <v>-2.4868514182940782E-2</v>
      </c>
      <c r="U136" s="109">
        <f>IF(VLOOKUP($D136,Sheet1!$M$5:$U$192,9,TRUE)=0,"",IF(ABS(D136-VLOOKUP($D136,Sheet1!$M$5:$U$192,9,TRUE))&lt;10^-10,"Alt.",D136-VLOOKUP($D136,Sheet1!$M$5:$U$192,9,TRUE)))</f>
        <v>2.0917810194935882E-3</v>
      </c>
      <c r="V136" s="132">
        <f>$D136-Sheet1!$M$3*$R136</f>
        <v>-0.12748146723835818</v>
      </c>
      <c r="Z136" s="6"/>
      <c r="AA136" s="61"/>
    </row>
    <row r="137" spans="1:27" ht="13.5">
      <c r="A137" t="s">
        <v>904</v>
      </c>
      <c r="B137">
        <v>80000</v>
      </c>
      <c r="C137">
        <v>80181</v>
      </c>
      <c r="D137" s="13">
        <f t="shared" si="4"/>
        <v>3.9124926957398611</v>
      </c>
      <c r="E137" s="61" t="s">
        <v>1931</v>
      </c>
      <c r="F137" s="65">
        <v>14286.585566117597</v>
      </c>
      <c r="G137" s="6">
        <v>811</v>
      </c>
      <c r="H137" s="6">
        <v>752</v>
      </c>
      <c r="I137" s="65">
        <v>1.7590935707363569</v>
      </c>
      <c r="J137" s="6">
        <f>VLOOKUP($D137,Sheet1!$A$5:$C$192,3,TRUE)</f>
        <v>1</v>
      </c>
      <c r="K137" s="42" t="str">
        <f>VLOOKUP($D137,Sheet1!$A$5:$C$192,2,TRUE)</f>
        <v>|(</v>
      </c>
      <c r="L137" s="6">
        <f>FLOOR(VLOOKUP($D137,Sheet1!$D$5:$F$192,3,TRUE),1)</f>
        <v>1</v>
      </c>
      <c r="M137" s="42" t="str">
        <f>VLOOKUP($D137,Sheet1!$D$5:$F$192,2,TRUE)</f>
        <v>)|</v>
      </c>
      <c r="N137" s="23">
        <f>FLOOR(VLOOKUP($D137,Sheet1!$G$5:$I$192,3,TRUE),1)</f>
        <v>2</v>
      </c>
      <c r="O137" s="42" t="str">
        <f>VLOOKUP($D137,Sheet1!$G$5:$I$192,2,TRUE)</f>
        <v>)|</v>
      </c>
      <c r="P137" s="23">
        <v>1</v>
      </c>
      <c r="Q137" s="43" t="str">
        <f>VLOOKUP($D137,Sheet1!$J$5:$L$192,2,TRUE)</f>
        <v>)|'</v>
      </c>
      <c r="R137" s="23">
        <f>FLOOR(VLOOKUP($D137,Sheet1!$M$5:$O$192,3,TRUE),1)</f>
        <v>8</v>
      </c>
      <c r="S137" s="42" t="str">
        <f>VLOOKUP($D137,Sheet1!$M$5:$O$192,2,TRUE)</f>
        <v>)|'</v>
      </c>
      <c r="T137" s="117">
        <f>IF(ABS(D137-VLOOKUP($D137,Sheet1!$M$5:$T$192,8,TRUE))&lt;10^-10,"SoCA",D137-VLOOKUP($D137,Sheet1!$M$5:$T$192,8,TRUE))</f>
        <v>0.11175780132019097</v>
      </c>
      <c r="U137" s="109">
        <f>IF(VLOOKUP($D137,Sheet1!$M$5:$U$192,9,TRUE)=0,"",IF(ABS(D137-VLOOKUP($D137,Sheet1!$M$5:$U$192,9,TRUE))&lt;10^-10,"Alt.",D137-VLOOKUP($D137,Sheet1!$M$5:$U$192,9,TRUE)))</f>
        <v>0.13871809652262534</v>
      </c>
      <c r="V137" s="132">
        <f>$D137-Sheet1!$M$3*$R137</f>
        <v>9.1448482647735752E-3</v>
      </c>
      <c r="Z137" s="6"/>
      <c r="AA137" s="61"/>
    </row>
    <row r="138" spans="1:27" ht="13.5">
      <c r="A138" t="s">
        <v>795</v>
      </c>
      <c r="B138">
        <v>3123080</v>
      </c>
      <c r="C138">
        <v>3130233</v>
      </c>
      <c r="D138" s="13">
        <f t="shared" si="4"/>
        <v>3.960627767724608</v>
      </c>
      <c r="E138" s="61" t="s">
        <v>1931</v>
      </c>
      <c r="F138" s="65">
        <v>1345791.7419399829</v>
      </c>
      <c r="G138" s="6">
        <v>676</v>
      </c>
      <c r="H138" s="6">
        <v>641</v>
      </c>
      <c r="I138" s="65">
        <v>0.75612971898864101</v>
      </c>
      <c r="J138" s="6">
        <f>VLOOKUP($D138,Sheet1!$A$5:$C$192,3,TRUE)</f>
        <v>1</v>
      </c>
      <c r="K138" s="42" t="str">
        <f>VLOOKUP($D138,Sheet1!$A$5:$C$192,2,TRUE)</f>
        <v>|(</v>
      </c>
      <c r="L138" s="6">
        <f>FLOOR(VLOOKUP($D138,Sheet1!$D$5:$F$192,3,TRUE),1)</f>
        <v>1</v>
      </c>
      <c r="M138" s="42" t="str">
        <f>VLOOKUP($D138,Sheet1!$D$5:$F$192,2,TRUE)</f>
        <v>)|</v>
      </c>
      <c r="N138" s="23">
        <f>FLOOR(VLOOKUP($D138,Sheet1!$G$5:$I$192,3,TRUE),1)</f>
        <v>2</v>
      </c>
      <c r="O138" s="42" t="str">
        <f>VLOOKUP($D138,Sheet1!$G$5:$I$192,2,TRUE)</f>
        <v>)|</v>
      </c>
      <c r="P138" s="23">
        <v>1</v>
      </c>
      <c r="Q138" s="43" t="str">
        <f>VLOOKUP($D138,Sheet1!$J$5:$L$192,2,TRUE)</f>
        <v>)|'</v>
      </c>
      <c r="R138" s="23">
        <f>FLOOR(VLOOKUP($D138,Sheet1!$M$5:$O$192,3,TRUE),1)</f>
        <v>8</v>
      </c>
      <c r="S138" s="42" t="str">
        <f>VLOOKUP($D138,Sheet1!$M$5:$O$192,2,TRUE)</f>
        <v>)|'</v>
      </c>
      <c r="T138" s="117">
        <f>IF(ABS(D138-VLOOKUP($D138,Sheet1!$M$5:$T$192,8,TRUE))&lt;10^-10,"SoCA",D138-VLOOKUP($D138,Sheet1!$M$5:$T$192,8,TRUE))</f>
        <v>0.15989287330493784</v>
      </c>
      <c r="U138" s="109">
        <f>IF(VLOOKUP($D138,Sheet1!$M$5:$U$192,9,TRUE)=0,"",IF(ABS(D138-VLOOKUP($D138,Sheet1!$M$5:$U$192,9,TRUE))&lt;10^-10,"Alt.",D138-VLOOKUP($D138,Sheet1!$M$5:$U$192,9,TRUE)))</f>
        <v>0.18685316850737221</v>
      </c>
      <c r="V138" s="132">
        <f>$D138-Sheet1!$M$3*$R138</f>
        <v>5.7279920249520444E-2</v>
      </c>
      <c r="Z138" s="6"/>
      <c r="AA138" s="61"/>
    </row>
    <row r="139" spans="1:27" ht="13.5">
      <c r="A139" s="38" t="s">
        <v>23</v>
      </c>
      <c r="B139" s="38">
        <f>2^7*3</f>
        <v>384</v>
      </c>
      <c r="C139" s="38">
        <f>5*7*11</f>
        <v>385</v>
      </c>
      <c r="D139" s="13">
        <f t="shared" si="4"/>
        <v>4.5025618333291639</v>
      </c>
      <c r="E139" s="61">
        <v>11</v>
      </c>
      <c r="F139" s="65">
        <v>36.839331412640391</v>
      </c>
      <c r="G139" s="6">
        <v>58</v>
      </c>
      <c r="H139" s="6">
        <v>52</v>
      </c>
      <c r="I139" s="65">
        <v>-1.2772391358039261</v>
      </c>
      <c r="J139" s="6">
        <f>VLOOKUP($D139,Sheet1!$A$5:$C$192,3,TRUE)</f>
        <v>1</v>
      </c>
      <c r="K139" s="42" t="str">
        <f>VLOOKUP($D139,Sheet1!$A$5:$C$192,2,TRUE)</f>
        <v>|(</v>
      </c>
      <c r="L139" s="6">
        <f>FLOOR(VLOOKUP($D139,Sheet1!$D$5:$F$192,3,TRUE),1)</f>
        <v>1</v>
      </c>
      <c r="M139" s="42" t="str">
        <f>VLOOKUP($D139,Sheet1!$D$5:$F$192,2,TRUE)</f>
        <v>)|</v>
      </c>
      <c r="N139" s="23">
        <f>FLOOR(VLOOKUP($D139,Sheet1!$G$5:$I$192,3,TRUE),1)</f>
        <v>2</v>
      </c>
      <c r="O139" s="42" t="str">
        <f>VLOOKUP($D139,Sheet1!$G$5:$I$192,2,TRUE)</f>
        <v>)|</v>
      </c>
      <c r="P139" s="23">
        <v>1</v>
      </c>
      <c r="Q139" s="45" t="str">
        <f>VLOOKUP($D139,Sheet1!$J$5:$L$192,2,TRUE)</f>
        <v>)|''</v>
      </c>
      <c r="R139" s="38">
        <f>FLOOR(VLOOKUP($D139,Sheet1!$M$5:$O$192,3,TRUE),1)</f>
        <v>9</v>
      </c>
      <c r="S139" s="45" t="str">
        <f>VLOOKUP($D139,Sheet1!$M$5:$O$192,2,TRUE)</f>
        <v>)|''</v>
      </c>
      <c r="T139" s="128">
        <f>IF(ABS(D139-VLOOKUP($D139,Sheet1!$M$5:$T$192,8,TRUE))&lt;10^-10,"SoCA",D139-VLOOKUP($D139,Sheet1!$M$5:$T$192,8,TRUE))</f>
        <v>0.29201890076271919</v>
      </c>
      <c r="U139" s="128">
        <f>IF(VLOOKUP($D139,Sheet1!$M$5:$U$192,9,TRUE)=0,"",IF(ABS(D139-VLOOKUP($D139,Sheet1!$M$5:$U$192,9,TRUE))&lt;10^-10,"Alt.",D139-VLOOKUP($D139,Sheet1!$M$5:$U$192,9,TRUE)))</f>
        <v>0.30607106815717611</v>
      </c>
      <c r="V139" s="133">
        <f>$D139-Sheet1!$M$3*$R139</f>
        <v>0.1112955049196902</v>
      </c>
      <c r="Z139" s="6"/>
      <c r="AA139" s="61"/>
    </row>
    <row r="140" spans="1:27" ht="13.5">
      <c r="A140" s="6" t="s">
        <v>720</v>
      </c>
      <c r="B140" s="6">
        <f>2^13*5</f>
        <v>40960</v>
      </c>
      <c r="C140" s="6">
        <f>3^5*13^2</f>
        <v>41067</v>
      </c>
      <c r="D140" s="13">
        <f t="shared" si="4"/>
        <v>4.5166140007233793</v>
      </c>
      <c r="E140" s="61">
        <v>13</v>
      </c>
      <c r="F140" s="65">
        <v>37.763916422613988</v>
      </c>
      <c r="G140" s="6">
        <v>607</v>
      </c>
      <c r="H140" s="6">
        <v>565</v>
      </c>
      <c r="I140" s="65">
        <v>4.7218956210547791</v>
      </c>
      <c r="J140" s="6">
        <f>VLOOKUP($D140,Sheet1!$A$5:$C$192,3,TRUE)</f>
        <v>1</v>
      </c>
      <c r="K140" s="42" t="str">
        <f>VLOOKUP($D140,Sheet1!$A$5:$C$192,2,TRUE)</f>
        <v>|(</v>
      </c>
      <c r="L140" s="6">
        <f>FLOOR(VLOOKUP($D140,Sheet1!$D$5:$F$192,3,TRUE),1)</f>
        <v>1</v>
      </c>
      <c r="M140" s="42" t="str">
        <f>VLOOKUP($D140,Sheet1!$D$5:$F$192,2,TRUE)</f>
        <v>)|</v>
      </c>
      <c r="N140" s="23">
        <f>FLOOR(VLOOKUP($D140,Sheet1!$G$5:$I$192,3,TRUE),1)</f>
        <v>2</v>
      </c>
      <c r="O140" s="42" t="str">
        <f>VLOOKUP($D140,Sheet1!$G$5:$I$192,2,TRUE)</f>
        <v>)|</v>
      </c>
      <c r="P140" s="23">
        <v>1</v>
      </c>
      <c r="Q140" s="43" t="str">
        <f>VLOOKUP($D140,Sheet1!$J$5:$L$192,2,TRUE)</f>
        <v>)|''</v>
      </c>
      <c r="R140" s="23">
        <f>FLOOR(VLOOKUP($D140,Sheet1!$M$5:$O$192,3,TRUE),1)</f>
        <v>9</v>
      </c>
      <c r="S140" s="42" t="str">
        <f>VLOOKUP($D140,Sheet1!$M$5:$O$192,2,TRUE)</f>
        <v>)|''</v>
      </c>
      <c r="T140" s="117">
        <f>IF(ABS(D140-VLOOKUP($D140,Sheet1!$M$5:$T$192,8,TRUE))&lt;10^-10,"SoCA",D140-VLOOKUP($D140,Sheet1!$M$5:$T$192,8,TRUE))</f>
        <v>0.30607106815693452</v>
      </c>
      <c r="U140" s="109">
        <f>IF(VLOOKUP($D140,Sheet1!$M$5:$U$192,9,TRUE)=0,"",IF(ABS(D140-VLOOKUP($D140,Sheet1!$M$5:$U$192,9,TRUE))&lt;10^-10,"Alt.",D140-VLOOKUP($D140,Sheet1!$M$5:$U$192,9,TRUE)))</f>
        <v>0.32012323555139144</v>
      </c>
      <c r="V140" s="132">
        <f>$D140-Sheet1!$M$3*$R140</f>
        <v>0.12534767231390553</v>
      </c>
      <c r="Z140" s="6"/>
      <c r="AA140" s="61"/>
    </row>
    <row r="141" spans="1:27" ht="13.5">
      <c r="A141" s="23" t="s">
        <v>577</v>
      </c>
      <c r="B141" s="23">
        <f>2^10*7^2</f>
        <v>50176</v>
      </c>
      <c r="C141" s="23">
        <f>3^7*23</f>
        <v>50301</v>
      </c>
      <c r="D141" s="13">
        <f t="shared" si="4"/>
        <v>4.307540387877685</v>
      </c>
      <c r="E141" s="61">
        <v>23</v>
      </c>
      <c r="F141" s="65">
        <v>46.773009692096743</v>
      </c>
      <c r="G141" s="6">
        <v>413</v>
      </c>
      <c r="H141" s="6">
        <v>422</v>
      </c>
      <c r="I141" s="65">
        <v>6.7347690450943301</v>
      </c>
      <c r="J141" s="6">
        <f>VLOOKUP($D141,Sheet1!$A$5:$C$192,3,TRUE)</f>
        <v>1</v>
      </c>
      <c r="K141" s="42" t="str">
        <f>VLOOKUP($D141,Sheet1!$A$5:$C$192,2,TRUE)</f>
        <v>|(</v>
      </c>
      <c r="L141" s="6">
        <f>FLOOR(VLOOKUP($D141,Sheet1!$D$5:$F$192,3,TRUE),1)</f>
        <v>1</v>
      </c>
      <c r="M141" s="42" t="str">
        <f>VLOOKUP($D141,Sheet1!$D$5:$F$192,2,TRUE)</f>
        <v>)|</v>
      </c>
      <c r="N141" s="23">
        <f>FLOOR(VLOOKUP($D141,Sheet1!$G$5:$I$192,3,TRUE),1)</f>
        <v>2</v>
      </c>
      <c r="O141" s="42" t="str">
        <f>VLOOKUP($D141,Sheet1!$G$5:$I$192,2,TRUE)</f>
        <v>)|</v>
      </c>
      <c r="P141" s="23">
        <v>1</v>
      </c>
      <c r="Q141" s="43" t="str">
        <f>VLOOKUP($D141,Sheet1!$J$5:$L$192,2,TRUE)</f>
        <v>)|''</v>
      </c>
      <c r="R141" s="23">
        <f>FLOOR(VLOOKUP($D141,Sheet1!$M$5:$O$192,3,TRUE),1)</f>
        <v>9</v>
      </c>
      <c r="S141" s="43" t="str">
        <f>VLOOKUP($D141,Sheet1!$M$5:$O$192,2,TRUE)</f>
        <v>)|''</v>
      </c>
      <c r="T141" s="117">
        <f>IF(ABS(D141-VLOOKUP($D141,Sheet1!$M$5:$T$192,8,TRUE))&lt;10^-10,"SoCA",D141-VLOOKUP($D141,Sheet1!$M$5:$T$192,8,TRUE))</f>
        <v>9.6997455311240266E-2</v>
      </c>
      <c r="U141" s="117">
        <f>IF(VLOOKUP($D141,Sheet1!$M$5:$U$192,9,TRUE)=0,"",IF(ABS(D141-VLOOKUP($D141,Sheet1!$M$5:$U$192,9,TRUE))&lt;10^-10,"Alt.",D141-VLOOKUP($D141,Sheet1!$M$5:$U$192,9,TRUE)))</f>
        <v>0.11104962270569718</v>
      </c>
      <c r="V141" s="132">
        <f>$D141-Sheet1!$M$3*$R141</f>
        <v>-8.3725940531788723E-2</v>
      </c>
      <c r="Z141" s="6"/>
      <c r="AA141" s="61"/>
    </row>
    <row r="142" spans="1:27" ht="13.5">
      <c r="A142" t="s">
        <v>1000</v>
      </c>
      <c r="B142">
        <v>377</v>
      </c>
      <c r="C142">
        <v>378</v>
      </c>
      <c r="D142" s="13">
        <f t="shared" si="4"/>
        <v>4.586053142889936</v>
      </c>
      <c r="E142" s="61">
        <v>29</v>
      </c>
      <c r="F142" s="65">
        <v>58.958319092633275</v>
      </c>
      <c r="G142" s="6">
        <v>913</v>
      </c>
      <c r="H142" s="6">
        <v>848</v>
      </c>
      <c r="I142" s="65">
        <v>2.7176200000910158</v>
      </c>
      <c r="J142" s="6">
        <f>VLOOKUP($D142,Sheet1!$A$5:$C$192,3,TRUE)</f>
        <v>1</v>
      </c>
      <c r="K142" s="42" t="str">
        <f>VLOOKUP($D142,Sheet1!$A$5:$C$192,2,TRUE)</f>
        <v>|(</v>
      </c>
      <c r="L142" s="6">
        <f>FLOOR(VLOOKUP($D142,Sheet1!$D$5:$F$192,3,TRUE),1)</f>
        <v>1</v>
      </c>
      <c r="M142" s="42" t="str">
        <f>VLOOKUP($D142,Sheet1!$D$5:$F$192,2,TRUE)</f>
        <v>)|</v>
      </c>
      <c r="N142" s="23">
        <f>FLOOR(VLOOKUP($D142,Sheet1!$G$5:$I$192,3,TRUE),1)</f>
        <v>2</v>
      </c>
      <c r="O142" s="42" t="str">
        <f>VLOOKUP($D142,Sheet1!$G$5:$I$192,2,TRUE)</f>
        <v>)|</v>
      </c>
      <c r="P142" s="23">
        <v>1</v>
      </c>
      <c r="Q142" s="43" t="str">
        <f>VLOOKUP($D142,Sheet1!$J$5:$L$192,2,TRUE)</f>
        <v>)|''</v>
      </c>
      <c r="R142" s="23">
        <f>FLOOR(VLOOKUP($D142,Sheet1!$M$5:$O$192,3,TRUE),1)</f>
        <v>9</v>
      </c>
      <c r="S142" s="42" t="str">
        <f>VLOOKUP($D142,Sheet1!$M$5:$O$192,2,TRUE)</f>
        <v>)|''</v>
      </c>
      <c r="T142" s="117">
        <f>IF(ABS(D142-VLOOKUP($D142,Sheet1!$M$5:$T$192,8,TRUE))&lt;10^-10,"SoCA",D142-VLOOKUP($D142,Sheet1!$M$5:$T$192,8,TRUE))</f>
        <v>0.3755102103234913</v>
      </c>
      <c r="U142" s="109">
        <f>IF(VLOOKUP($D142,Sheet1!$M$5:$U$192,9,TRUE)=0,"",IF(ABS(D142-VLOOKUP($D142,Sheet1!$M$5:$U$192,9,TRUE))&lt;10^-10,"Alt.",D142-VLOOKUP($D142,Sheet1!$M$5:$U$192,9,TRUE)))</f>
        <v>0.38956237771794822</v>
      </c>
      <c r="V142" s="132">
        <f>$D142-Sheet1!$M$3*$R142</f>
        <v>0.19478681448046231</v>
      </c>
      <c r="Z142" s="6"/>
      <c r="AA142" s="61"/>
    </row>
    <row r="143" spans="1:27" ht="13.5">
      <c r="A143" t="s">
        <v>1477</v>
      </c>
      <c r="B143">
        <v>1830519</v>
      </c>
      <c r="C143">
        <v>1835008</v>
      </c>
      <c r="D143" s="13">
        <f t="shared" si="4"/>
        <v>4.2403253510006635</v>
      </c>
      <c r="E143" s="61">
        <v>31</v>
      </c>
      <c r="F143" s="65">
        <v>60.937355301833797</v>
      </c>
      <c r="G143" s="6">
        <v>564</v>
      </c>
      <c r="H143" s="6">
        <v>1326</v>
      </c>
      <c r="I143" s="65">
        <v>-10.261092280207441</v>
      </c>
      <c r="J143" s="6">
        <f>VLOOKUP($D143,Sheet1!$A$5:$C$192,3,TRUE)</f>
        <v>1</v>
      </c>
      <c r="K143" s="42" t="str">
        <f>VLOOKUP($D143,Sheet1!$A$5:$C$192,2,TRUE)</f>
        <v>|(</v>
      </c>
      <c r="L143" s="6">
        <f>FLOOR(VLOOKUP($D143,Sheet1!$D$5:$F$192,3,TRUE),1)</f>
        <v>1</v>
      </c>
      <c r="M143" s="42" t="str">
        <f>VLOOKUP($D143,Sheet1!$D$5:$F$192,2,TRUE)</f>
        <v>)|</v>
      </c>
      <c r="N143" s="23">
        <f>FLOOR(VLOOKUP($D143,Sheet1!$G$5:$I$192,3,TRUE),1)</f>
        <v>2</v>
      </c>
      <c r="O143" s="42" t="str">
        <f>VLOOKUP($D143,Sheet1!$G$5:$I$192,2,TRUE)</f>
        <v>)|</v>
      </c>
      <c r="P143" s="23">
        <v>1</v>
      </c>
      <c r="Q143" s="43" t="str">
        <f>VLOOKUP($D143,Sheet1!$J$5:$L$192,2,TRUE)</f>
        <v>)|''</v>
      </c>
      <c r="R143" s="23">
        <f>FLOOR(VLOOKUP($D143,Sheet1!$M$5:$O$192,3,TRUE),1)</f>
        <v>9</v>
      </c>
      <c r="S143" s="42" t="str">
        <f>VLOOKUP($D143,Sheet1!$M$5:$O$192,2,TRUE)</f>
        <v>)|''</v>
      </c>
      <c r="T143" s="117">
        <f>IF(ABS(D143-VLOOKUP($D143,Sheet1!$M$5:$T$192,8,TRUE))&lt;10^-10,"SoCA",D143-VLOOKUP($D143,Sheet1!$M$5:$T$192,8,TRUE))</f>
        <v>2.9782418434218805E-2</v>
      </c>
      <c r="U143" s="109">
        <f>IF(VLOOKUP($D143,Sheet1!$M$5:$U$192,9,TRUE)=0,"",IF(ABS(D143-VLOOKUP($D143,Sheet1!$M$5:$U$192,9,TRUE))&lt;10^-10,"Alt.",D143-VLOOKUP($D143,Sheet1!$M$5:$U$192,9,TRUE)))</f>
        <v>4.3834585828675721E-2</v>
      </c>
      <c r="V143" s="132">
        <f>$D143-Sheet1!$M$3*$R143</f>
        <v>-0.15094097740881018</v>
      </c>
      <c r="Z143" s="6"/>
      <c r="AA143" s="61"/>
    </row>
    <row r="144" spans="1:27" ht="13.5">
      <c r="A144" t="s">
        <v>1147</v>
      </c>
      <c r="B144">
        <v>216513</v>
      </c>
      <c r="C144">
        <v>217088</v>
      </c>
      <c r="D144" s="13">
        <f t="shared" si="4"/>
        <v>4.5915953225954826</v>
      </c>
      <c r="E144" s="61" t="s">
        <v>1931</v>
      </c>
      <c r="F144" s="65">
        <v>77.132834743795669</v>
      </c>
      <c r="G144" s="6">
        <v>620</v>
      </c>
      <c r="H144" s="6">
        <v>996</v>
      </c>
      <c r="I144" s="65">
        <v>-9.2827212521047144</v>
      </c>
      <c r="J144" s="6">
        <f>VLOOKUP($D144,Sheet1!$A$5:$C$192,3,TRUE)</f>
        <v>1</v>
      </c>
      <c r="K144" s="42" t="str">
        <f>VLOOKUP($D144,Sheet1!$A$5:$C$192,2,TRUE)</f>
        <v>|(</v>
      </c>
      <c r="L144" s="6">
        <f>FLOOR(VLOOKUP($D144,Sheet1!$D$5:$F$192,3,TRUE),1)</f>
        <v>1</v>
      </c>
      <c r="M144" s="42" t="str">
        <f>VLOOKUP($D144,Sheet1!$D$5:$F$192,2,TRUE)</f>
        <v>)|</v>
      </c>
      <c r="N144" s="23">
        <f>FLOOR(VLOOKUP($D144,Sheet1!$G$5:$I$192,3,TRUE),1)</f>
        <v>2</v>
      </c>
      <c r="O144" s="42" t="str">
        <f>VLOOKUP($D144,Sheet1!$G$5:$I$192,2,TRUE)</f>
        <v>)|</v>
      </c>
      <c r="P144" s="23">
        <v>1</v>
      </c>
      <c r="Q144" s="43" t="str">
        <f>VLOOKUP($D144,Sheet1!$J$5:$L$192,2,TRUE)</f>
        <v>)|''</v>
      </c>
      <c r="R144" s="23">
        <f>FLOOR(VLOOKUP($D144,Sheet1!$M$5:$O$192,3,TRUE),1)</f>
        <v>9</v>
      </c>
      <c r="S144" s="42" t="str">
        <f>VLOOKUP($D144,Sheet1!$M$5:$O$192,2,TRUE)</f>
        <v>)|''</v>
      </c>
      <c r="T144" s="117">
        <f>IF(ABS(D144-VLOOKUP($D144,Sheet1!$M$5:$T$192,8,TRUE))&lt;10^-10,"SoCA",D144-VLOOKUP($D144,Sheet1!$M$5:$T$192,8,TRUE))</f>
        <v>0.3810523900290379</v>
      </c>
      <c r="U144" s="109">
        <f>IF(VLOOKUP($D144,Sheet1!$M$5:$U$192,9,TRUE)=0,"",IF(ABS(D144-VLOOKUP($D144,Sheet1!$M$5:$U$192,9,TRUE))&lt;10^-10,"Alt.",D144-VLOOKUP($D144,Sheet1!$M$5:$U$192,9,TRUE)))</f>
        <v>0.39510455742349482</v>
      </c>
      <c r="V144" s="132">
        <f>$D144-Sheet1!$M$3*$R144</f>
        <v>0.20032899418600891</v>
      </c>
      <c r="Z144" s="6"/>
      <c r="AA144" s="61"/>
    </row>
    <row r="145" spans="1:27" ht="13.5">
      <c r="A145" t="s">
        <v>466</v>
      </c>
      <c r="B145">
        <v>7533</v>
      </c>
      <c r="C145">
        <v>7552</v>
      </c>
      <c r="D145" s="13">
        <f t="shared" si="4"/>
        <v>4.3610824430222195</v>
      </c>
      <c r="E145" s="61" t="s">
        <v>1931</v>
      </c>
      <c r="F145" s="65">
        <v>90.88111120349177</v>
      </c>
      <c r="G145" s="6">
        <v>324</v>
      </c>
      <c r="H145" s="6">
        <v>304</v>
      </c>
      <c r="I145" s="65">
        <v>-5.2685277343052457</v>
      </c>
      <c r="J145" s="6">
        <f>VLOOKUP($D145,Sheet1!$A$5:$C$192,3,TRUE)</f>
        <v>1</v>
      </c>
      <c r="K145" s="42" t="str">
        <f>VLOOKUP($D145,Sheet1!$A$5:$C$192,2,TRUE)</f>
        <v>|(</v>
      </c>
      <c r="L145" s="6">
        <f>FLOOR(VLOOKUP($D145,Sheet1!$D$5:$F$192,3,TRUE),1)</f>
        <v>1</v>
      </c>
      <c r="M145" s="42" t="str">
        <f>VLOOKUP($D145,Sheet1!$D$5:$F$192,2,TRUE)</f>
        <v>)|</v>
      </c>
      <c r="N145" s="23">
        <f>FLOOR(VLOOKUP($D145,Sheet1!$G$5:$I$192,3,TRUE),1)</f>
        <v>2</v>
      </c>
      <c r="O145" s="42" t="str">
        <f>VLOOKUP($D145,Sheet1!$G$5:$I$192,2,TRUE)</f>
        <v>)|</v>
      </c>
      <c r="P145" s="23">
        <v>1</v>
      </c>
      <c r="Q145" s="43" t="str">
        <f>VLOOKUP($D145,Sheet1!$J$5:$L$192,2,TRUE)</f>
        <v>)|''</v>
      </c>
      <c r="R145" s="23">
        <f>FLOOR(VLOOKUP($D145,Sheet1!$M$5:$O$192,3,TRUE),1)</f>
        <v>9</v>
      </c>
      <c r="S145" s="42" t="str">
        <f>VLOOKUP($D145,Sheet1!$M$5:$O$192,2,TRUE)</f>
        <v>)|''</v>
      </c>
      <c r="T145" s="117">
        <f>IF(ABS(D145-VLOOKUP($D145,Sheet1!$M$5:$T$192,8,TRUE))&lt;10^-10,"SoCA",D145-VLOOKUP($D145,Sheet1!$M$5:$T$192,8,TRUE))</f>
        <v>0.15053951045577474</v>
      </c>
      <c r="U145" s="109">
        <f>IF(VLOOKUP($D145,Sheet1!$M$5:$U$192,9,TRUE)=0,"",IF(ABS(D145-VLOOKUP($D145,Sheet1!$M$5:$U$192,9,TRUE))&lt;10^-10,"Alt.",D145-VLOOKUP($D145,Sheet1!$M$5:$U$192,9,TRUE)))</f>
        <v>0.16459167785023165</v>
      </c>
      <c r="V145" s="132">
        <f>$D145-Sheet1!$M$3*$R145</f>
        <v>-3.018388538725425E-2</v>
      </c>
      <c r="Z145" s="6"/>
      <c r="AA145" s="61"/>
    </row>
    <row r="146" spans="1:27" ht="13.5">
      <c r="A146" t="s">
        <v>1105</v>
      </c>
      <c r="B146">
        <v>4928</v>
      </c>
      <c r="C146">
        <v>4941</v>
      </c>
      <c r="D146" s="13">
        <f t="shared" si="4"/>
        <v>4.5609597031317506</v>
      </c>
      <c r="E146" s="61" t="s">
        <v>1931</v>
      </c>
      <c r="F146" s="65">
        <v>95.154065341112968</v>
      </c>
      <c r="G146" s="6">
        <v>1018</v>
      </c>
      <c r="H146" s="6">
        <v>954</v>
      </c>
      <c r="I146" s="65">
        <v>3.7191650945973058</v>
      </c>
      <c r="J146" s="6">
        <f>VLOOKUP($D146,Sheet1!$A$5:$C$192,3,TRUE)</f>
        <v>1</v>
      </c>
      <c r="K146" s="42" t="str">
        <f>VLOOKUP($D146,Sheet1!$A$5:$C$192,2,TRUE)</f>
        <v>|(</v>
      </c>
      <c r="L146" s="6">
        <f>FLOOR(VLOOKUP($D146,Sheet1!$D$5:$F$192,3,TRUE),1)</f>
        <v>1</v>
      </c>
      <c r="M146" s="42" t="str">
        <f>VLOOKUP($D146,Sheet1!$D$5:$F$192,2,TRUE)</f>
        <v>)|</v>
      </c>
      <c r="N146" s="23">
        <f>FLOOR(VLOOKUP($D146,Sheet1!$G$5:$I$192,3,TRUE),1)</f>
        <v>2</v>
      </c>
      <c r="O146" s="42" t="str">
        <f>VLOOKUP($D146,Sheet1!$G$5:$I$192,2,TRUE)</f>
        <v>)|</v>
      </c>
      <c r="P146" s="23">
        <v>1</v>
      </c>
      <c r="Q146" s="43" t="str">
        <f>VLOOKUP($D146,Sheet1!$J$5:$L$192,2,TRUE)</f>
        <v>)|''</v>
      </c>
      <c r="R146" s="23">
        <f>FLOOR(VLOOKUP($D146,Sheet1!$M$5:$O$192,3,TRUE),1)</f>
        <v>9</v>
      </c>
      <c r="S146" s="42" t="str">
        <f>VLOOKUP($D146,Sheet1!$M$5:$O$192,2,TRUE)</f>
        <v>)|''</v>
      </c>
      <c r="T146" s="117">
        <f>IF(ABS(D146-VLOOKUP($D146,Sheet1!$M$5:$T$192,8,TRUE))&lt;10^-10,"SoCA",D146-VLOOKUP($D146,Sheet1!$M$5:$T$192,8,TRUE))</f>
        <v>0.35041677056530585</v>
      </c>
      <c r="U146" s="109">
        <f>IF(VLOOKUP($D146,Sheet1!$M$5:$U$192,9,TRUE)=0,"",IF(ABS(D146-VLOOKUP($D146,Sheet1!$M$5:$U$192,9,TRUE))&lt;10^-10,"Alt.",D146-VLOOKUP($D146,Sheet1!$M$5:$U$192,9,TRUE)))</f>
        <v>0.36446893795976276</v>
      </c>
      <c r="V146" s="132">
        <f>$D146-Sheet1!$M$3*$R146</f>
        <v>0.16969337472227686</v>
      </c>
      <c r="Z146" s="6"/>
      <c r="AA146" s="61"/>
    </row>
    <row r="147" spans="1:27" ht="13.5">
      <c r="A147" t="s">
        <v>1707</v>
      </c>
      <c r="B147">
        <v>2179072</v>
      </c>
      <c r="C147">
        <v>2184813</v>
      </c>
      <c r="D147" s="13">
        <f t="shared" si="4"/>
        <v>4.555124807186524</v>
      </c>
      <c r="E147" s="61">
        <v>37</v>
      </c>
      <c r="F147" s="65">
        <v>97.127842970636507</v>
      </c>
      <c r="G147" s="6">
        <v>1602</v>
      </c>
      <c r="H147" s="6">
        <v>1556</v>
      </c>
      <c r="I147" s="65">
        <v>9.7195243703983358</v>
      </c>
      <c r="J147" s="6">
        <f>VLOOKUP($D147,Sheet1!$A$5:$C$192,3,TRUE)</f>
        <v>1</v>
      </c>
      <c r="K147" s="42" t="str">
        <f>VLOOKUP($D147,Sheet1!$A$5:$C$192,2,TRUE)</f>
        <v>|(</v>
      </c>
      <c r="L147" s="6">
        <f>FLOOR(VLOOKUP($D147,Sheet1!$D$5:$F$192,3,TRUE),1)</f>
        <v>1</v>
      </c>
      <c r="M147" s="42" t="str">
        <f>VLOOKUP($D147,Sheet1!$D$5:$F$192,2,TRUE)</f>
        <v>)|</v>
      </c>
      <c r="N147" s="23">
        <f>FLOOR(VLOOKUP($D147,Sheet1!$G$5:$I$192,3,TRUE),1)</f>
        <v>2</v>
      </c>
      <c r="O147" s="42" t="str">
        <f>VLOOKUP($D147,Sheet1!$G$5:$I$192,2,TRUE)</f>
        <v>)|</v>
      </c>
      <c r="P147" s="23">
        <v>1</v>
      </c>
      <c r="Q147" s="43" t="str">
        <f>VLOOKUP($D147,Sheet1!$J$5:$L$192,2,TRUE)</f>
        <v>)|''</v>
      </c>
      <c r="R147" s="23">
        <f>FLOOR(VLOOKUP($D147,Sheet1!$M$5:$O$192,3,TRUE),1)</f>
        <v>9</v>
      </c>
      <c r="S147" s="42" t="str">
        <f>VLOOKUP($D147,Sheet1!$M$5:$O$192,2,TRUE)</f>
        <v>)|''</v>
      </c>
      <c r="T147" s="117">
        <f>IF(ABS(D147-VLOOKUP($D147,Sheet1!$M$5:$T$192,8,TRUE))&lt;10^-10,"SoCA",D147-VLOOKUP($D147,Sheet1!$M$5:$T$192,8,TRUE))</f>
        <v>0.34458187462007928</v>
      </c>
      <c r="U147" s="109">
        <f>IF(VLOOKUP($D147,Sheet1!$M$5:$U$192,9,TRUE)=0,"",IF(ABS(D147-VLOOKUP($D147,Sheet1!$M$5:$U$192,9,TRUE))&lt;10^-10,"Alt.",D147-VLOOKUP($D147,Sheet1!$M$5:$U$192,9,TRUE)))</f>
        <v>0.35863404201453619</v>
      </c>
      <c r="V147" s="132">
        <f>$D147-Sheet1!$M$3*$R147</f>
        <v>0.16385847877705029</v>
      </c>
      <c r="Z147" s="6"/>
      <c r="AA147" s="61"/>
    </row>
    <row r="148" spans="1:27" ht="13.5">
      <c r="A148" s="6" t="s">
        <v>1590</v>
      </c>
      <c r="B148" s="18">
        <f>2^31</f>
        <v>2147483648</v>
      </c>
      <c r="C148" s="18">
        <f>3^9*5^6*7</f>
        <v>2152828125</v>
      </c>
      <c r="D148" s="13">
        <f t="shared" si="4"/>
        <v>4.3031974466205938</v>
      </c>
      <c r="E148" s="61">
        <v>7</v>
      </c>
      <c r="F148" s="65">
        <v>98.292837904110442</v>
      </c>
      <c r="G148" s="6">
        <v>1497</v>
      </c>
      <c r="H148" s="6">
        <v>1439</v>
      </c>
      <c r="I148" s="65">
        <v>8.7350364558097251</v>
      </c>
      <c r="J148" s="6">
        <f>VLOOKUP($D148,Sheet1!$A$5:$C$192,3,TRUE)</f>
        <v>1</v>
      </c>
      <c r="K148" s="42" t="str">
        <f>VLOOKUP($D148,Sheet1!$A$5:$C$192,2,TRUE)</f>
        <v>|(</v>
      </c>
      <c r="L148" s="6">
        <f>FLOOR(VLOOKUP($D148,Sheet1!$D$5:$F$192,3,TRUE),1)</f>
        <v>1</v>
      </c>
      <c r="M148" s="42" t="str">
        <f>VLOOKUP($D148,Sheet1!$D$5:$F$192,2,TRUE)</f>
        <v>)|</v>
      </c>
      <c r="N148" s="23">
        <f>FLOOR(VLOOKUP($D148,Sheet1!$G$5:$I$192,3,TRUE),1)</f>
        <v>2</v>
      </c>
      <c r="O148" s="42" t="str">
        <f>VLOOKUP($D148,Sheet1!$G$5:$I$192,2,TRUE)</f>
        <v>)|</v>
      </c>
      <c r="P148" s="23">
        <v>1</v>
      </c>
      <c r="Q148" s="43" t="str">
        <f>VLOOKUP($D148,Sheet1!$J$5:$L$192,2,TRUE)</f>
        <v>)|''</v>
      </c>
      <c r="R148" s="23">
        <f>FLOOR(VLOOKUP($D148,Sheet1!$M$5:$O$192,3,TRUE),1)</f>
        <v>9</v>
      </c>
      <c r="S148" s="42" t="str">
        <f>VLOOKUP($D148,Sheet1!$M$5:$O$192,2,TRUE)</f>
        <v>)|''</v>
      </c>
      <c r="T148" s="117">
        <f>IF(ABS(D148-VLOOKUP($D148,Sheet1!$M$5:$T$192,8,TRUE))&lt;10^-10,"SoCA",D148-VLOOKUP($D148,Sheet1!$M$5:$T$192,8,TRUE))</f>
        <v>9.265451405414904E-2</v>
      </c>
      <c r="U148" s="109">
        <f>IF(VLOOKUP($D148,Sheet1!$M$5:$U$192,9,TRUE)=0,"",IF(ABS(D148-VLOOKUP($D148,Sheet1!$M$5:$U$192,9,TRUE))&lt;10^-10,"Alt.",D148-VLOOKUP($D148,Sheet1!$M$5:$U$192,9,TRUE)))</f>
        <v>0.10670668144860596</v>
      </c>
      <c r="V148" s="132">
        <f>$D148-Sheet1!$M$3*$R148</f>
        <v>-8.8068881788879949E-2</v>
      </c>
      <c r="Z148" s="6"/>
      <c r="AA148" s="61"/>
    </row>
    <row r="149" spans="1:27" ht="13.5">
      <c r="A149" t="s">
        <v>497</v>
      </c>
      <c r="B149">
        <v>404</v>
      </c>
      <c r="C149">
        <v>405</v>
      </c>
      <c r="D149" s="13">
        <f t="shared" si="4"/>
        <v>4.279938024230808</v>
      </c>
      <c r="E149" s="61" t="s">
        <v>1931</v>
      </c>
      <c r="F149" s="65">
        <v>106.37929929966995</v>
      </c>
      <c r="G149" s="6">
        <v>359</v>
      </c>
      <c r="H149" s="6">
        <v>338</v>
      </c>
      <c r="I149" s="65">
        <v>3.7364686231849542</v>
      </c>
      <c r="J149" s="6">
        <f>VLOOKUP($D149,Sheet1!$A$5:$C$192,3,TRUE)</f>
        <v>1</v>
      </c>
      <c r="K149" s="42" t="str">
        <f>VLOOKUP($D149,Sheet1!$A$5:$C$192,2,TRUE)</f>
        <v>|(</v>
      </c>
      <c r="L149" s="6">
        <f>FLOOR(VLOOKUP($D149,Sheet1!$D$5:$F$192,3,TRUE),1)</f>
        <v>1</v>
      </c>
      <c r="M149" s="42" t="str">
        <f>VLOOKUP($D149,Sheet1!$D$5:$F$192,2,TRUE)</f>
        <v>)|</v>
      </c>
      <c r="N149" s="23">
        <f>FLOOR(VLOOKUP($D149,Sheet1!$G$5:$I$192,3,TRUE),1)</f>
        <v>2</v>
      </c>
      <c r="O149" s="42" t="str">
        <f>VLOOKUP($D149,Sheet1!$G$5:$I$192,2,TRUE)</f>
        <v>)|</v>
      </c>
      <c r="P149" s="23">
        <v>1</v>
      </c>
      <c r="Q149" s="43" t="str">
        <f>VLOOKUP($D149,Sheet1!$J$5:$L$192,2,TRUE)</f>
        <v>)|''</v>
      </c>
      <c r="R149" s="23">
        <f>FLOOR(VLOOKUP($D149,Sheet1!$M$5:$O$192,3,TRUE),1)</f>
        <v>9</v>
      </c>
      <c r="S149" s="42" t="str">
        <f>VLOOKUP($D149,Sheet1!$M$5:$O$192,2,TRUE)</f>
        <v>)|''</v>
      </c>
      <c r="T149" s="117">
        <f>IF(ABS(D149-VLOOKUP($D149,Sheet1!$M$5:$T$192,8,TRUE))&lt;10^-10,"SoCA",D149-VLOOKUP($D149,Sheet1!$M$5:$T$192,8,TRUE))</f>
        <v>6.9395091664363306E-2</v>
      </c>
      <c r="U149" s="109">
        <f>IF(VLOOKUP($D149,Sheet1!$M$5:$U$192,9,TRUE)=0,"",IF(ABS(D149-VLOOKUP($D149,Sheet1!$M$5:$U$192,9,TRUE))&lt;10^-10,"Alt.",D149-VLOOKUP($D149,Sheet1!$M$5:$U$192,9,TRUE)))</f>
        <v>8.3447259058820222E-2</v>
      </c>
      <c r="V149" s="132">
        <f>$D149-Sheet1!$M$3*$R149</f>
        <v>-0.11132830417866568</v>
      </c>
      <c r="Z149" s="6"/>
      <c r="AA149" s="61"/>
    </row>
    <row r="150" spans="1:27" ht="13.5">
      <c r="A150" s="6" t="s">
        <v>1885</v>
      </c>
      <c r="B150">
        <v>48234496</v>
      </c>
      <c r="C150">
        <v>48361131</v>
      </c>
      <c r="D150" s="13">
        <f t="shared" si="4"/>
        <v>4.5392313546690044</v>
      </c>
      <c r="E150" s="61">
        <v>23</v>
      </c>
      <c r="F150" s="65">
        <v>130.14981957847189</v>
      </c>
      <c r="G150" s="59">
        <v>1721</v>
      </c>
      <c r="H150" s="63">
        <v>1000090</v>
      </c>
      <c r="I150" s="65">
        <v>11.720502988172841</v>
      </c>
      <c r="J150" s="6">
        <f>VLOOKUP($D150,Sheet1!$A$5:$C$192,3,TRUE)</f>
        <v>1</v>
      </c>
      <c r="K150" s="42" t="str">
        <f>VLOOKUP($D150,Sheet1!$A$5:$C$192,2,TRUE)</f>
        <v>|(</v>
      </c>
      <c r="L150" s="6">
        <f>FLOOR(VLOOKUP($D150,Sheet1!$D$5:$F$192,3,TRUE),1)</f>
        <v>1</v>
      </c>
      <c r="M150" s="42" t="str">
        <f>VLOOKUP($D150,Sheet1!$D$5:$F$192,2,TRUE)</f>
        <v>)|</v>
      </c>
      <c r="N150" s="23">
        <f>FLOOR(VLOOKUP($D150,Sheet1!$G$5:$I$192,3,TRUE),1)</f>
        <v>2</v>
      </c>
      <c r="O150" s="42" t="str">
        <f>VLOOKUP($D150,Sheet1!$G$5:$I$192,2,TRUE)</f>
        <v>)|</v>
      </c>
      <c r="P150" s="23">
        <v>1</v>
      </c>
      <c r="Q150" s="43" t="str">
        <f>VLOOKUP($D150,Sheet1!$J$5:$L$192,2,TRUE)</f>
        <v>)|''</v>
      </c>
      <c r="R150" s="23">
        <f>FLOOR(VLOOKUP($D150,Sheet1!$M$5:$O$192,3,TRUE),1)</f>
        <v>9</v>
      </c>
      <c r="S150" s="42" t="str">
        <f>VLOOKUP($D150,Sheet1!$M$5:$O$192,2,TRUE)</f>
        <v>)|''</v>
      </c>
      <c r="T150" s="117">
        <f>IF(ABS(D150-VLOOKUP($D150,Sheet1!$M$5:$T$192,8,TRUE))&lt;10^-10,"SoCA",D150-VLOOKUP($D150,Sheet1!$M$5:$T$192,8,TRUE))</f>
        <v>0.32868842210255966</v>
      </c>
      <c r="U150" s="109">
        <f>IF(VLOOKUP($D150,Sheet1!$M$5:$U$192,9,TRUE)=0,"",IF(ABS(D150-VLOOKUP($D150,Sheet1!$M$5:$U$192,9,TRUE))&lt;10^-10,"Alt.",D150-VLOOKUP($D150,Sheet1!$M$5:$U$192,9,TRUE)))</f>
        <v>0.34274058949701658</v>
      </c>
      <c r="V150" s="132">
        <f>$D150-Sheet1!$M$3*$R150</f>
        <v>0.14796502625953067</v>
      </c>
      <c r="Z150" s="6"/>
      <c r="AA150" s="61"/>
    </row>
    <row r="151" spans="1:27" ht="13.5">
      <c r="A151" t="s">
        <v>847</v>
      </c>
      <c r="B151">
        <v>98304</v>
      </c>
      <c r="C151">
        <v>98549</v>
      </c>
      <c r="D151" s="13">
        <f t="shared" si="4"/>
        <v>4.3093329644339926</v>
      </c>
      <c r="E151" s="61">
        <v>31</v>
      </c>
      <c r="F151" s="65">
        <v>136.85299503451847</v>
      </c>
      <c r="G151" s="6">
        <v>732</v>
      </c>
      <c r="H151" s="6">
        <v>694</v>
      </c>
      <c r="I151" s="65">
        <v>-1.2653413303749537</v>
      </c>
      <c r="J151" s="6">
        <f>VLOOKUP($D151,Sheet1!$A$5:$C$192,3,TRUE)</f>
        <v>1</v>
      </c>
      <c r="K151" s="42" t="str">
        <f>VLOOKUP($D151,Sheet1!$A$5:$C$192,2,TRUE)</f>
        <v>|(</v>
      </c>
      <c r="L151" s="6">
        <f>FLOOR(VLOOKUP($D151,Sheet1!$D$5:$F$192,3,TRUE),1)</f>
        <v>1</v>
      </c>
      <c r="M151" s="42" t="str">
        <f>VLOOKUP($D151,Sheet1!$D$5:$F$192,2,TRUE)</f>
        <v>)|</v>
      </c>
      <c r="N151" s="23">
        <f>FLOOR(VLOOKUP($D151,Sheet1!$G$5:$I$192,3,TRUE),1)</f>
        <v>2</v>
      </c>
      <c r="O151" s="42" t="str">
        <f>VLOOKUP($D151,Sheet1!$G$5:$I$192,2,TRUE)</f>
        <v>)|</v>
      </c>
      <c r="P151" s="23">
        <v>1</v>
      </c>
      <c r="Q151" s="43" t="str">
        <f>VLOOKUP($D151,Sheet1!$J$5:$L$192,2,TRUE)</f>
        <v>)|''</v>
      </c>
      <c r="R151" s="23">
        <f>FLOOR(VLOOKUP($D151,Sheet1!$M$5:$O$192,3,TRUE),1)</f>
        <v>9</v>
      </c>
      <c r="S151" s="42" t="str">
        <f>VLOOKUP($D151,Sheet1!$M$5:$O$192,2,TRUE)</f>
        <v>)|''</v>
      </c>
      <c r="T151" s="117">
        <f>IF(ABS(D151-VLOOKUP($D151,Sheet1!$M$5:$T$192,8,TRUE))&lt;10^-10,"SoCA",D151-VLOOKUP($D151,Sheet1!$M$5:$T$192,8,TRUE))</f>
        <v>9.8790031867547867E-2</v>
      </c>
      <c r="U151" s="109">
        <f>IF(VLOOKUP($D151,Sheet1!$M$5:$U$192,9,TRUE)=0,"",IF(ABS(D151-VLOOKUP($D151,Sheet1!$M$5:$U$192,9,TRUE))&lt;10^-10,"Alt.",D151-VLOOKUP($D151,Sheet1!$M$5:$U$192,9,TRUE)))</f>
        <v>0.11284219926200478</v>
      </c>
      <c r="V151" s="132">
        <f>$D151-Sheet1!$M$3*$R151</f>
        <v>-8.1933363975481122E-2</v>
      </c>
      <c r="Z151" s="6"/>
      <c r="AA151" s="61"/>
    </row>
    <row r="152" spans="1:27" ht="13.5">
      <c r="A152" t="s">
        <v>794</v>
      </c>
      <c r="B152">
        <v>416</v>
      </c>
      <c r="C152">
        <v>417</v>
      </c>
      <c r="D152" s="13">
        <f t="shared" si="4"/>
        <v>4.1566263642859198</v>
      </c>
      <c r="E152" s="61" t="s">
        <v>1931</v>
      </c>
      <c r="F152" s="65">
        <v>152.05112773600973</v>
      </c>
      <c r="G152" s="6">
        <v>675</v>
      </c>
      <c r="H152" s="6">
        <v>640</v>
      </c>
      <c r="I152" s="65">
        <v>0.74406137133659711</v>
      </c>
      <c r="J152" s="6">
        <f>VLOOKUP($D152,Sheet1!$A$5:$C$192,3,TRUE)</f>
        <v>1</v>
      </c>
      <c r="K152" s="42" t="str">
        <f>VLOOKUP($D152,Sheet1!$A$5:$C$192,2,TRUE)</f>
        <v>|(</v>
      </c>
      <c r="L152" s="6">
        <f>FLOOR(VLOOKUP($D152,Sheet1!$D$5:$F$192,3,TRUE),1)</f>
        <v>1</v>
      </c>
      <c r="M152" s="42" t="str">
        <f>VLOOKUP($D152,Sheet1!$D$5:$F$192,2,TRUE)</f>
        <v>)|</v>
      </c>
      <c r="N152" s="23">
        <f>FLOOR(VLOOKUP($D152,Sheet1!$G$5:$I$192,3,TRUE),1)</f>
        <v>2</v>
      </c>
      <c r="O152" s="42" t="str">
        <f>VLOOKUP($D152,Sheet1!$G$5:$I$192,2,TRUE)</f>
        <v>)|</v>
      </c>
      <c r="P152" s="23">
        <v>1</v>
      </c>
      <c r="Q152" s="43" t="str">
        <f>VLOOKUP($D152,Sheet1!$J$5:$L$192,2,TRUE)</f>
        <v>)|''</v>
      </c>
      <c r="R152" s="23">
        <f>FLOOR(VLOOKUP($D152,Sheet1!$M$5:$O$192,3,TRUE),1)</f>
        <v>9</v>
      </c>
      <c r="S152" s="42" t="str">
        <f>VLOOKUP($D152,Sheet1!$M$5:$O$192,2,TRUE)</f>
        <v>)|''</v>
      </c>
      <c r="T152" s="117">
        <f>IF(ABS(D152-VLOOKUP($D152,Sheet1!$M$5:$T$192,8,TRUE))&lt;10^-10,"SoCA",D152-VLOOKUP($D152,Sheet1!$M$5:$T$192,8,TRUE))</f>
        <v>-5.3916568280524935E-2</v>
      </c>
      <c r="U152" s="109">
        <f>IF(VLOOKUP($D152,Sheet1!$M$5:$U$192,9,TRUE)=0,"",IF(ABS(D152-VLOOKUP($D152,Sheet1!$M$5:$U$192,9,TRUE))&lt;10^-10,"Alt.",D152-VLOOKUP($D152,Sheet1!$M$5:$U$192,9,TRUE)))</f>
        <v>-3.9864400886068019E-2</v>
      </c>
      <c r="V152" s="132">
        <f>$D152-Sheet1!$M$3*$R152</f>
        <v>-0.23463996412355392</v>
      </c>
      <c r="Z152" s="6"/>
      <c r="AA152" s="61"/>
    </row>
    <row r="153" spans="1:27" ht="13.5">
      <c r="A153" t="s">
        <v>790</v>
      </c>
      <c r="B153">
        <v>392</v>
      </c>
      <c r="C153">
        <v>393</v>
      </c>
      <c r="D153" s="13">
        <f t="shared" si="4"/>
        <v>4.4107897720780427</v>
      </c>
      <c r="E153" s="61" t="s">
        <v>1931</v>
      </c>
      <c r="F153" s="65">
        <v>174.05040644799595</v>
      </c>
      <c r="G153" s="6">
        <v>672</v>
      </c>
      <c r="H153" s="6">
        <v>636</v>
      </c>
      <c r="I153" s="65">
        <v>0.72841160435112784</v>
      </c>
      <c r="J153" s="6">
        <f>VLOOKUP($D153,Sheet1!$A$5:$C$192,3,TRUE)</f>
        <v>1</v>
      </c>
      <c r="K153" s="42" t="str">
        <f>VLOOKUP($D153,Sheet1!$A$5:$C$192,2,TRUE)</f>
        <v>|(</v>
      </c>
      <c r="L153" s="6">
        <f>FLOOR(VLOOKUP($D153,Sheet1!$D$5:$F$192,3,TRUE),1)</f>
        <v>1</v>
      </c>
      <c r="M153" s="42" t="str">
        <f>VLOOKUP($D153,Sheet1!$D$5:$F$192,2,TRUE)</f>
        <v>)|</v>
      </c>
      <c r="N153" s="23">
        <f>FLOOR(VLOOKUP($D153,Sheet1!$G$5:$I$192,3,TRUE),1)</f>
        <v>2</v>
      </c>
      <c r="O153" s="42" t="str">
        <f>VLOOKUP($D153,Sheet1!$G$5:$I$192,2,TRUE)</f>
        <v>)|</v>
      </c>
      <c r="P153" s="23">
        <v>1</v>
      </c>
      <c r="Q153" s="43" t="str">
        <f>VLOOKUP($D153,Sheet1!$J$5:$L$192,2,TRUE)</f>
        <v>)|''</v>
      </c>
      <c r="R153" s="23">
        <f>FLOOR(VLOOKUP($D153,Sheet1!$M$5:$O$192,3,TRUE),1)</f>
        <v>9</v>
      </c>
      <c r="S153" s="42" t="str">
        <f>VLOOKUP($D153,Sheet1!$M$5:$O$192,2,TRUE)</f>
        <v>)|''</v>
      </c>
      <c r="T153" s="117">
        <f>IF(ABS(D153-VLOOKUP($D153,Sheet1!$M$5:$T$192,8,TRUE))&lt;10^-10,"SoCA",D153-VLOOKUP($D153,Sheet1!$M$5:$T$192,8,TRUE))</f>
        <v>0.20024683951159794</v>
      </c>
      <c r="U153" s="109">
        <f>IF(VLOOKUP($D153,Sheet1!$M$5:$U$192,9,TRUE)=0,"",IF(ABS(D153-VLOOKUP($D153,Sheet1!$M$5:$U$192,9,TRUE))&lt;10^-10,"Alt.",D153-VLOOKUP($D153,Sheet1!$M$5:$U$192,9,TRUE)))</f>
        <v>0.21429900690605486</v>
      </c>
      <c r="V153" s="132">
        <f>$D153-Sheet1!$M$3*$R153</f>
        <v>1.9523443668568952E-2</v>
      </c>
      <c r="Z153" s="6"/>
      <c r="AA153" s="61"/>
    </row>
    <row r="154" spans="1:27" ht="13.5">
      <c r="A154" t="s">
        <v>1709</v>
      </c>
      <c r="B154">
        <v>4653056</v>
      </c>
      <c r="C154">
        <v>4664871</v>
      </c>
      <c r="D154" s="13">
        <f t="shared" si="4"/>
        <v>4.3903630607792836</v>
      </c>
      <c r="E154" s="61" t="s">
        <v>1931</v>
      </c>
      <c r="F154" s="65">
        <v>175.99134472039776</v>
      </c>
      <c r="G154" s="6">
        <v>1604</v>
      </c>
      <c r="H154" s="6">
        <v>1558</v>
      </c>
      <c r="I154" s="65">
        <v>9.729669351384354</v>
      </c>
      <c r="J154" s="6">
        <f>VLOOKUP($D154,Sheet1!$A$5:$C$192,3,TRUE)</f>
        <v>1</v>
      </c>
      <c r="K154" s="42" t="str">
        <f>VLOOKUP($D154,Sheet1!$A$5:$C$192,2,TRUE)</f>
        <v>|(</v>
      </c>
      <c r="L154" s="6">
        <f>FLOOR(VLOOKUP($D154,Sheet1!$D$5:$F$192,3,TRUE),1)</f>
        <v>1</v>
      </c>
      <c r="M154" s="42" t="str">
        <f>VLOOKUP($D154,Sheet1!$D$5:$F$192,2,TRUE)</f>
        <v>)|</v>
      </c>
      <c r="N154" s="23">
        <f>FLOOR(VLOOKUP($D154,Sheet1!$G$5:$I$192,3,TRUE),1)</f>
        <v>2</v>
      </c>
      <c r="O154" s="42" t="str">
        <f>VLOOKUP($D154,Sheet1!$G$5:$I$192,2,TRUE)</f>
        <v>)|</v>
      </c>
      <c r="P154" s="23">
        <v>1</v>
      </c>
      <c r="Q154" s="43" t="str">
        <f>VLOOKUP($D154,Sheet1!$J$5:$L$192,2,TRUE)</f>
        <v>)|''</v>
      </c>
      <c r="R154" s="23">
        <f>FLOOR(VLOOKUP($D154,Sheet1!$M$5:$O$192,3,TRUE),1)</f>
        <v>9</v>
      </c>
      <c r="S154" s="42" t="str">
        <f>VLOOKUP($D154,Sheet1!$M$5:$O$192,2,TRUE)</f>
        <v>)|''</v>
      </c>
      <c r="T154" s="117">
        <f>IF(ABS(D154-VLOOKUP($D154,Sheet1!$M$5:$T$192,8,TRUE))&lt;10^-10,"SoCA",D154-VLOOKUP($D154,Sheet1!$M$5:$T$192,8,TRUE))</f>
        <v>0.17982012821283888</v>
      </c>
      <c r="U154" s="109">
        <f>IF(VLOOKUP($D154,Sheet1!$M$5:$U$192,9,TRUE)=0,"",IF(ABS(D154-VLOOKUP($D154,Sheet1!$M$5:$U$192,9,TRUE))&lt;10^-10,"Alt.",D154-VLOOKUP($D154,Sheet1!$M$5:$U$192,9,TRUE)))</f>
        <v>0.1938722956072958</v>
      </c>
      <c r="V154" s="132">
        <f>$D154-Sheet1!$M$3*$R154</f>
        <v>-9.032676301901077E-4</v>
      </c>
      <c r="Z154" s="6"/>
      <c r="AA154" s="61"/>
    </row>
    <row r="155" spans="1:27" ht="13.5">
      <c r="A155" s="6" t="s">
        <v>1848</v>
      </c>
      <c r="B155">
        <v>1236992</v>
      </c>
      <c r="C155">
        <v>1240029</v>
      </c>
      <c r="D155" s="13">
        <f t="shared" si="4"/>
        <v>4.245228798291973</v>
      </c>
      <c r="E155" s="61" t="s">
        <v>1931</v>
      </c>
      <c r="F155" s="65">
        <v>210.66133275248711</v>
      </c>
      <c r="G155" s="59">
        <v>1677</v>
      </c>
      <c r="H155" s="63">
        <v>1000053</v>
      </c>
      <c r="I155" s="65">
        <v>10.738605796678604</v>
      </c>
      <c r="J155" s="6">
        <f>VLOOKUP($D155,Sheet1!$A$5:$C$192,3,TRUE)</f>
        <v>1</v>
      </c>
      <c r="K155" s="42" t="str">
        <f>VLOOKUP($D155,Sheet1!$A$5:$C$192,2,TRUE)</f>
        <v>|(</v>
      </c>
      <c r="L155" s="6">
        <f>FLOOR(VLOOKUP($D155,Sheet1!$D$5:$F$192,3,TRUE),1)</f>
        <v>1</v>
      </c>
      <c r="M155" s="42" t="str">
        <f>VLOOKUP($D155,Sheet1!$D$5:$F$192,2,TRUE)</f>
        <v>)|</v>
      </c>
      <c r="N155" s="23">
        <f>FLOOR(VLOOKUP($D155,Sheet1!$G$5:$I$192,3,TRUE),1)</f>
        <v>2</v>
      </c>
      <c r="O155" s="42" t="str">
        <f>VLOOKUP($D155,Sheet1!$G$5:$I$192,2,TRUE)</f>
        <v>)|</v>
      </c>
      <c r="P155" s="23">
        <v>1</v>
      </c>
      <c r="Q155" s="43" t="str">
        <f>VLOOKUP($D155,Sheet1!$J$5:$L$192,2,TRUE)</f>
        <v>)|''</v>
      </c>
      <c r="R155" s="23">
        <f>FLOOR(VLOOKUP($D155,Sheet1!$M$5:$O$192,3,TRUE),1)</f>
        <v>9</v>
      </c>
      <c r="S155" s="42" t="str">
        <f>VLOOKUP($D155,Sheet1!$M$5:$O$192,2,TRUE)</f>
        <v>)|''</v>
      </c>
      <c r="T155" s="117">
        <f>IF(ABS(D155-VLOOKUP($D155,Sheet1!$M$5:$T$192,8,TRUE))&lt;10^-10,"SoCA",D155-VLOOKUP($D155,Sheet1!$M$5:$T$192,8,TRUE))</f>
        <v>3.4685865725528231E-2</v>
      </c>
      <c r="U155" s="109">
        <f>IF(VLOOKUP($D155,Sheet1!$M$5:$U$192,9,TRUE)=0,"",IF(ABS(D155-VLOOKUP($D155,Sheet1!$M$5:$U$192,9,TRUE))&lt;10^-10,"Alt.",D155-VLOOKUP($D155,Sheet1!$M$5:$U$192,9,TRUE)))</f>
        <v>4.8738033119985147E-2</v>
      </c>
      <c r="V155" s="132">
        <f>$D155-Sheet1!$M$3*$R155</f>
        <v>-0.14603753011750076</v>
      </c>
      <c r="Z155" s="6"/>
      <c r="AA155" s="61"/>
    </row>
    <row r="156" spans="1:27" ht="13.5">
      <c r="A156" t="s">
        <v>791</v>
      </c>
      <c r="B156">
        <v>398</v>
      </c>
      <c r="C156">
        <v>399</v>
      </c>
      <c r="D156" s="13">
        <f t="shared" si="4"/>
        <v>4.3443788144362552</v>
      </c>
      <c r="E156" s="61" t="s">
        <v>1931</v>
      </c>
      <c r="F156" s="65">
        <v>270.05486580984035</v>
      </c>
      <c r="G156" s="6">
        <v>673</v>
      </c>
      <c r="H156" s="6">
        <v>637</v>
      </c>
      <c r="I156" s="65">
        <v>0.73250076896142402</v>
      </c>
      <c r="J156" s="6">
        <f>VLOOKUP($D156,Sheet1!$A$5:$C$192,3,TRUE)</f>
        <v>1</v>
      </c>
      <c r="K156" s="42" t="str">
        <f>VLOOKUP($D156,Sheet1!$A$5:$C$192,2,TRUE)</f>
        <v>|(</v>
      </c>
      <c r="L156" s="6">
        <f>FLOOR(VLOOKUP($D156,Sheet1!$D$5:$F$192,3,TRUE),1)</f>
        <v>1</v>
      </c>
      <c r="M156" s="42" t="str">
        <f>VLOOKUP($D156,Sheet1!$D$5:$F$192,2,TRUE)</f>
        <v>)|</v>
      </c>
      <c r="N156" s="23">
        <f>FLOOR(VLOOKUP($D156,Sheet1!$G$5:$I$192,3,TRUE),1)</f>
        <v>2</v>
      </c>
      <c r="O156" s="42" t="str">
        <f>VLOOKUP($D156,Sheet1!$G$5:$I$192,2,TRUE)</f>
        <v>)|</v>
      </c>
      <c r="P156" s="23">
        <v>1</v>
      </c>
      <c r="Q156" s="43" t="str">
        <f>VLOOKUP($D156,Sheet1!$J$5:$L$192,2,TRUE)</f>
        <v>)|''</v>
      </c>
      <c r="R156" s="23">
        <f>FLOOR(VLOOKUP($D156,Sheet1!$M$5:$O$192,3,TRUE),1)</f>
        <v>9</v>
      </c>
      <c r="S156" s="42" t="str">
        <f>VLOOKUP($D156,Sheet1!$M$5:$O$192,2,TRUE)</f>
        <v>)|''</v>
      </c>
      <c r="T156" s="117">
        <f>IF(ABS(D156-VLOOKUP($D156,Sheet1!$M$5:$T$192,8,TRUE))&lt;10^-10,"SoCA",D156-VLOOKUP($D156,Sheet1!$M$5:$T$192,8,TRUE))</f>
        <v>0.13383588186981044</v>
      </c>
      <c r="U156" s="109">
        <f>IF(VLOOKUP($D156,Sheet1!$M$5:$U$192,9,TRUE)=0,"",IF(ABS(D156-VLOOKUP($D156,Sheet1!$M$5:$U$192,9,TRUE))&lt;10^-10,"Alt.",D156-VLOOKUP($D156,Sheet1!$M$5:$U$192,9,TRUE)))</f>
        <v>0.14788804926426735</v>
      </c>
      <c r="V156" s="132">
        <f>$D156-Sheet1!$M$3*$R156</f>
        <v>-4.6887513973218553E-2</v>
      </c>
      <c r="Z156" s="6"/>
      <c r="AA156" s="61"/>
    </row>
    <row r="157" spans="1:27" ht="13.5">
      <c r="A157" t="s">
        <v>957</v>
      </c>
      <c r="B157">
        <v>1899</v>
      </c>
      <c r="C157">
        <v>1904</v>
      </c>
      <c r="D157" s="13">
        <f t="shared" si="4"/>
        <v>4.5522877901352476</v>
      </c>
      <c r="E157" s="61" t="s">
        <v>1931</v>
      </c>
      <c r="F157" s="65">
        <v>282.13378389460189</v>
      </c>
      <c r="G157" s="6">
        <v>867</v>
      </c>
      <c r="H157" s="6">
        <v>805</v>
      </c>
      <c r="I157" s="65">
        <v>-2.2803009441260005</v>
      </c>
      <c r="J157" s="6">
        <f>VLOOKUP($D157,Sheet1!$A$5:$C$192,3,TRUE)</f>
        <v>1</v>
      </c>
      <c r="K157" s="42" t="str">
        <f>VLOOKUP($D157,Sheet1!$A$5:$C$192,2,TRUE)</f>
        <v>|(</v>
      </c>
      <c r="L157" s="6">
        <f>FLOOR(VLOOKUP($D157,Sheet1!$D$5:$F$192,3,TRUE),1)</f>
        <v>1</v>
      </c>
      <c r="M157" s="42" t="str">
        <f>VLOOKUP($D157,Sheet1!$D$5:$F$192,2,TRUE)</f>
        <v>)|</v>
      </c>
      <c r="N157" s="23">
        <f>FLOOR(VLOOKUP($D157,Sheet1!$G$5:$I$192,3,TRUE),1)</f>
        <v>2</v>
      </c>
      <c r="O157" s="42" t="str">
        <f>VLOOKUP($D157,Sheet1!$G$5:$I$192,2,TRUE)</f>
        <v>)|</v>
      </c>
      <c r="P157" s="23">
        <v>1</v>
      </c>
      <c r="Q157" s="43" t="str">
        <f>VLOOKUP($D157,Sheet1!$J$5:$L$192,2,TRUE)</f>
        <v>)|''</v>
      </c>
      <c r="R157" s="23">
        <f>FLOOR(VLOOKUP($D157,Sheet1!$M$5:$O$192,3,TRUE),1)</f>
        <v>9</v>
      </c>
      <c r="S157" s="42" t="str">
        <f>VLOOKUP($D157,Sheet1!$M$5:$O$192,2,TRUE)</f>
        <v>)|''</v>
      </c>
      <c r="T157" s="117">
        <f>IF(ABS(D157-VLOOKUP($D157,Sheet1!$M$5:$T$192,8,TRUE))&lt;10^-10,"SoCA",D157-VLOOKUP($D157,Sheet1!$M$5:$T$192,8,TRUE))</f>
        <v>0.34174485756880291</v>
      </c>
      <c r="U157" s="109">
        <f>IF(VLOOKUP($D157,Sheet1!$M$5:$U$192,9,TRUE)=0,"",IF(ABS(D157-VLOOKUP($D157,Sheet1!$M$5:$U$192,9,TRUE))&lt;10^-10,"Alt.",D157-VLOOKUP($D157,Sheet1!$M$5:$U$192,9,TRUE)))</f>
        <v>0.35579702496325982</v>
      </c>
      <c r="V157" s="132">
        <f>$D157-Sheet1!$M$3*$R157</f>
        <v>0.16102146172577392</v>
      </c>
      <c r="Z157" s="6"/>
      <c r="AA157" s="61"/>
    </row>
    <row r="158" spans="1:27" ht="13.5">
      <c r="A158" t="s">
        <v>900</v>
      </c>
      <c r="B158">
        <v>5611</v>
      </c>
      <c r="C158">
        <v>5625</v>
      </c>
      <c r="D158" s="13">
        <f t="shared" si="4"/>
        <v>4.3142202260175351</v>
      </c>
      <c r="E158" s="61" t="s">
        <v>1931</v>
      </c>
      <c r="F158" s="65">
        <v>324.91041043509955</v>
      </c>
      <c r="G158" s="6">
        <v>807</v>
      </c>
      <c r="H158" s="6">
        <v>748</v>
      </c>
      <c r="I158" s="65">
        <v>1.7343577431240842</v>
      </c>
      <c r="J158" s="6">
        <f>VLOOKUP($D158,Sheet1!$A$5:$C$192,3,TRUE)</f>
        <v>1</v>
      </c>
      <c r="K158" s="42" t="str">
        <f>VLOOKUP($D158,Sheet1!$A$5:$C$192,2,TRUE)</f>
        <v>|(</v>
      </c>
      <c r="L158" s="6">
        <f>FLOOR(VLOOKUP($D158,Sheet1!$D$5:$F$192,3,TRUE),1)</f>
        <v>1</v>
      </c>
      <c r="M158" s="42" t="str">
        <f>VLOOKUP($D158,Sheet1!$D$5:$F$192,2,TRUE)</f>
        <v>)|</v>
      </c>
      <c r="N158" s="23">
        <f>FLOOR(VLOOKUP($D158,Sheet1!$G$5:$I$192,3,TRUE),1)</f>
        <v>2</v>
      </c>
      <c r="O158" s="42" t="str">
        <f>VLOOKUP($D158,Sheet1!$G$5:$I$192,2,TRUE)</f>
        <v>)|</v>
      </c>
      <c r="P158" s="23">
        <v>1</v>
      </c>
      <c r="Q158" s="43" t="str">
        <f>VLOOKUP($D158,Sheet1!$J$5:$L$192,2,TRUE)</f>
        <v>)|''</v>
      </c>
      <c r="R158" s="23">
        <f>FLOOR(VLOOKUP($D158,Sheet1!$M$5:$O$192,3,TRUE),1)</f>
        <v>9</v>
      </c>
      <c r="S158" s="42" t="str">
        <f>VLOOKUP($D158,Sheet1!$M$5:$O$192,2,TRUE)</f>
        <v>)|''</v>
      </c>
      <c r="T158" s="117">
        <f>IF(ABS(D158-VLOOKUP($D158,Sheet1!$M$5:$T$192,8,TRUE))&lt;10^-10,"SoCA",D158-VLOOKUP($D158,Sheet1!$M$5:$T$192,8,TRUE))</f>
        <v>0.10367729345109034</v>
      </c>
      <c r="U158" s="109">
        <f>IF(VLOOKUP($D158,Sheet1!$M$5:$U$192,9,TRUE)=0,"",IF(ABS(D158-VLOOKUP($D158,Sheet1!$M$5:$U$192,9,TRUE))&lt;10^-10,"Alt.",D158-VLOOKUP($D158,Sheet1!$M$5:$U$192,9,TRUE)))</f>
        <v>0.11772946084554725</v>
      </c>
      <c r="V158" s="132">
        <f>$D158-Sheet1!$M$3*$R158</f>
        <v>-7.7046102391938653E-2</v>
      </c>
      <c r="Z158" s="6"/>
      <c r="AA158" s="61"/>
    </row>
    <row r="159" spans="1:27" ht="13.5">
      <c r="A159" t="s">
        <v>1729</v>
      </c>
      <c r="B159">
        <v>222437583</v>
      </c>
      <c r="C159">
        <v>222986240</v>
      </c>
      <c r="D159" s="13">
        <f t="shared" si="4"/>
        <v>4.2649454788831314</v>
      </c>
      <c r="E159" s="61" t="s">
        <v>1931</v>
      </c>
      <c r="F159" s="65">
        <v>6212.7557880076174</v>
      </c>
      <c r="G159" s="6">
        <v>1474</v>
      </c>
      <c r="H159" s="6">
        <v>1578</v>
      </c>
      <c r="I159" s="65">
        <v>-10.262608231177174</v>
      </c>
      <c r="J159" s="6">
        <f>VLOOKUP($D159,Sheet1!$A$5:$C$192,3,TRUE)</f>
        <v>1</v>
      </c>
      <c r="K159" s="42" t="str">
        <f>VLOOKUP($D159,Sheet1!$A$5:$C$192,2,TRUE)</f>
        <v>|(</v>
      </c>
      <c r="L159" s="6">
        <f>FLOOR(VLOOKUP($D159,Sheet1!$D$5:$F$192,3,TRUE),1)</f>
        <v>1</v>
      </c>
      <c r="M159" s="42" t="str">
        <f>VLOOKUP($D159,Sheet1!$D$5:$F$192,2,TRUE)</f>
        <v>)|</v>
      </c>
      <c r="N159" s="23">
        <f>FLOOR(VLOOKUP($D159,Sheet1!$G$5:$I$192,3,TRUE),1)</f>
        <v>2</v>
      </c>
      <c r="O159" s="42" t="str">
        <f>VLOOKUP($D159,Sheet1!$G$5:$I$192,2,TRUE)</f>
        <v>)|</v>
      </c>
      <c r="P159" s="23">
        <v>1</v>
      </c>
      <c r="Q159" s="43" t="str">
        <f>VLOOKUP($D159,Sheet1!$J$5:$L$192,2,TRUE)</f>
        <v>)|''</v>
      </c>
      <c r="R159" s="23">
        <f>FLOOR(VLOOKUP($D159,Sheet1!$M$5:$O$192,3,TRUE),1)</f>
        <v>9</v>
      </c>
      <c r="S159" s="42" t="str">
        <f>VLOOKUP($D159,Sheet1!$M$5:$O$192,2,TRUE)</f>
        <v>)|''</v>
      </c>
      <c r="T159" s="117">
        <f>IF(ABS(D159-VLOOKUP($D159,Sheet1!$M$5:$T$192,8,TRUE))&lt;10^-10,"SoCA",D159-VLOOKUP($D159,Sheet1!$M$5:$T$192,8,TRUE))</f>
        <v>5.4402546316686617E-2</v>
      </c>
      <c r="U159" s="109">
        <f>IF(VLOOKUP($D159,Sheet1!$M$5:$U$192,9,TRUE)=0,"",IF(ABS(D159-VLOOKUP($D159,Sheet1!$M$5:$U$192,9,TRUE))&lt;10^-10,"Alt.",D159-VLOOKUP($D159,Sheet1!$M$5:$U$192,9,TRUE)))</f>
        <v>6.8454713711143533E-2</v>
      </c>
      <c r="V159" s="132">
        <f>$D159-Sheet1!$M$3*$R159</f>
        <v>-0.12632084952634237</v>
      </c>
      <c r="Z159" s="6"/>
      <c r="AA159" s="61"/>
    </row>
    <row r="160" spans="1:27" ht="13.5">
      <c r="A160" t="s">
        <v>893</v>
      </c>
      <c r="B160">
        <v>561001</v>
      </c>
      <c r="C160">
        <v>562500</v>
      </c>
      <c r="D160" s="13">
        <f t="shared" si="4"/>
        <v>4.619704618781026</v>
      </c>
      <c r="E160" s="61" t="s">
        <v>1931</v>
      </c>
      <c r="F160" s="65">
        <v>18388.988115192868</v>
      </c>
      <c r="G160" s="6">
        <v>802</v>
      </c>
      <c r="H160" s="6">
        <v>741</v>
      </c>
      <c r="I160" s="65">
        <v>1.7155479561214</v>
      </c>
      <c r="J160" s="6">
        <f>VLOOKUP($D160,Sheet1!$A$5:$C$192,3,TRUE)</f>
        <v>1</v>
      </c>
      <c r="K160" s="42" t="str">
        <f>VLOOKUP($D160,Sheet1!$A$5:$C$192,2,TRUE)</f>
        <v>|(</v>
      </c>
      <c r="L160" s="6">
        <f>FLOOR(VLOOKUP($D160,Sheet1!$D$5:$F$192,3,TRUE),1)</f>
        <v>1</v>
      </c>
      <c r="M160" s="42" t="str">
        <f>VLOOKUP($D160,Sheet1!$D$5:$F$192,2,TRUE)</f>
        <v>)|</v>
      </c>
      <c r="N160" s="23">
        <f>FLOOR(VLOOKUP($D160,Sheet1!$G$5:$I$192,3,TRUE),1)</f>
        <v>2</v>
      </c>
      <c r="O160" s="42" t="str">
        <f>VLOOKUP($D160,Sheet1!$G$5:$I$192,2,TRUE)</f>
        <v>)|</v>
      </c>
      <c r="P160" s="23">
        <v>1</v>
      </c>
      <c r="Q160" s="43" t="str">
        <f>VLOOKUP($D160,Sheet1!$J$5:$L$192,2,TRUE)</f>
        <v>)|''</v>
      </c>
      <c r="R160" s="23">
        <f>FLOOR(VLOOKUP($D160,Sheet1!$M$5:$O$192,3,TRUE),1)</f>
        <v>9</v>
      </c>
      <c r="S160" s="42" t="str">
        <f>VLOOKUP($D160,Sheet1!$M$5:$O$192,2,TRUE)</f>
        <v>)|''</v>
      </c>
      <c r="T160" s="117">
        <f>IF(ABS(D160-VLOOKUP($D160,Sheet1!$M$5:$T$192,8,TRUE))&lt;10^-10,"SoCA",D160-VLOOKUP($D160,Sheet1!$M$5:$T$192,8,TRUE))</f>
        <v>0.40916168621458127</v>
      </c>
      <c r="U160" s="109">
        <f>IF(VLOOKUP($D160,Sheet1!$M$5:$U$192,9,TRUE)=0,"",IF(ABS(D160-VLOOKUP($D160,Sheet1!$M$5:$U$192,9,TRUE))&lt;10^-10,"Alt.",D160-VLOOKUP($D160,Sheet1!$M$5:$U$192,9,TRUE)))</f>
        <v>0.42321385360903818</v>
      </c>
      <c r="V160" s="132">
        <f>$D160-Sheet1!$M$3*$R160</f>
        <v>0.22843829037155228</v>
      </c>
      <c r="Z160" s="6"/>
      <c r="AA160" s="61"/>
    </row>
    <row r="161" spans="1:27" ht="13.5">
      <c r="A161" t="s">
        <v>899</v>
      </c>
      <c r="B161">
        <v>14082472</v>
      </c>
      <c r="C161">
        <v>14118237</v>
      </c>
      <c r="D161" s="13">
        <f t="shared" si="4"/>
        <v>4.3912100905807483</v>
      </c>
      <c r="E161" s="61" t="s">
        <v>1931</v>
      </c>
      <c r="F161" s="65">
        <v>2474606.6907072603</v>
      </c>
      <c r="G161" s="6">
        <v>806</v>
      </c>
      <c r="H161" s="6">
        <v>747</v>
      </c>
      <c r="I161" s="65">
        <v>1.7296171966735796</v>
      </c>
      <c r="J161" s="6">
        <f>VLOOKUP($D161,Sheet1!$A$5:$C$192,3,TRUE)</f>
        <v>1</v>
      </c>
      <c r="K161" s="42" t="str">
        <f>VLOOKUP($D161,Sheet1!$A$5:$C$192,2,TRUE)</f>
        <v>|(</v>
      </c>
      <c r="L161" s="6">
        <f>FLOOR(VLOOKUP($D161,Sheet1!$D$5:$F$192,3,TRUE),1)</f>
        <v>1</v>
      </c>
      <c r="M161" s="42" t="str">
        <f>VLOOKUP($D161,Sheet1!$D$5:$F$192,2,TRUE)</f>
        <v>)|</v>
      </c>
      <c r="N161" s="23">
        <f>FLOOR(VLOOKUP($D161,Sheet1!$G$5:$I$192,3,TRUE),1)</f>
        <v>2</v>
      </c>
      <c r="O161" s="42" t="str">
        <f>VLOOKUP($D161,Sheet1!$G$5:$I$192,2,TRUE)</f>
        <v>)|</v>
      </c>
      <c r="P161" s="23">
        <v>1</v>
      </c>
      <c r="Q161" s="43" t="str">
        <f>VLOOKUP($D161,Sheet1!$J$5:$L$192,2,TRUE)</f>
        <v>)|''</v>
      </c>
      <c r="R161" s="23">
        <f>FLOOR(VLOOKUP($D161,Sheet1!$M$5:$O$192,3,TRUE),1)</f>
        <v>9</v>
      </c>
      <c r="S161" s="42" t="str">
        <f>VLOOKUP($D161,Sheet1!$M$5:$O$192,2,TRUE)</f>
        <v>)|''</v>
      </c>
      <c r="T161" s="117">
        <f>IF(ABS(D161-VLOOKUP($D161,Sheet1!$M$5:$T$192,8,TRUE))&lt;10^-10,"SoCA",D161-VLOOKUP($D161,Sheet1!$M$5:$T$192,8,TRUE))</f>
        <v>0.18066715801430355</v>
      </c>
      <c r="U161" s="109">
        <f>IF(VLOOKUP($D161,Sheet1!$M$5:$U$192,9,TRUE)=0,"",IF(ABS(D161-VLOOKUP($D161,Sheet1!$M$5:$U$192,9,TRUE))&lt;10^-10,"Alt.",D161-VLOOKUP($D161,Sheet1!$M$5:$U$192,9,TRUE)))</f>
        <v>0.19471932540876047</v>
      </c>
      <c r="V161" s="132">
        <f>$D161-Sheet1!$M$3*$R161</f>
        <v>-5.6237828725436145E-5</v>
      </c>
      <c r="Z161" s="6"/>
      <c r="AA161" s="61"/>
    </row>
    <row r="162" spans="1:27" ht="13.5">
      <c r="A162" t="s">
        <v>1544</v>
      </c>
      <c r="B162">
        <v>2624400</v>
      </c>
      <c r="C162">
        <v>2631019</v>
      </c>
      <c r="D162" s="13">
        <f t="shared" si="4"/>
        <v>4.360848955991389</v>
      </c>
      <c r="E162" s="61" t="s">
        <v>1931</v>
      </c>
      <c r="F162" s="65">
        <v>3157257.8445022055</v>
      </c>
      <c r="G162" s="6">
        <v>1447</v>
      </c>
      <c r="H162" s="6">
        <v>1393</v>
      </c>
      <c r="I162" s="65">
        <v>-8.2685133576581187</v>
      </c>
      <c r="J162" s="6">
        <f>VLOOKUP($D162,Sheet1!$A$5:$C$192,3,TRUE)</f>
        <v>1</v>
      </c>
      <c r="K162" s="42" t="str">
        <f>VLOOKUP($D162,Sheet1!$A$5:$C$192,2,TRUE)</f>
        <v>|(</v>
      </c>
      <c r="L162" s="6">
        <f>FLOOR(VLOOKUP($D162,Sheet1!$D$5:$F$192,3,TRUE),1)</f>
        <v>1</v>
      </c>
      <c r="M162" s="42" t="str">
        <f>VLOOKUP($D162,Sheet1!$D$5:$F$192,2,TRUE)</f>
        <v>)|</v>
      </c>
      <c r="N162" s="23">
        <f>FLOOR(VLOOKUP($D162,Sheet1!$G$5:$I$192,3,TRUE),1)</f>
        <v>2</v>
      </c>
      <c r="O162" s="42" t="str">
        <f>VLOOKUP($D162,Sheet1!$G$5:$I$192,2,TRUE)</f>
        <v>)|</v>
      </c>
      <c r="P162" s="23">
        <v>1</v>
      </c>
      <c r="Q162" s="43" t="str">
        <f>VLOOKUP($D162,Sheet1!$J$5:$L$192,2,TRUE)</f>
        <v>)|''</v>
      </c>
      <c r="R162" s="23">
        <f>FLOOR(VLOOKUP($D162,Sheet1!$M$5:$O$192,3,TRUE),1)</f>
        <v>9</v>
      </c>
      <c r="S162" s="42" t="str">
        <f>VLOOKUP($D162,Sheet1!$M$5:$O$192,2,TRUE)</f>
        <v>)|''</v>
      </c>
      <c r="T162" s="117">
        <f>IF(ABS(D162-VLOOKUP($D162,Sheet1!$M$5:$T$192,8,TRUE))&lt;10^-10,"SoCA",D162-VLOOKUP($D162,Sheet1!$M$5:$T$192,8,TRUE))</f>
        <v>0.15030602342494426</v>
      </c>
      <c r="U162" s="109">
        <f>IF(VLOOKUP($D162,Sheet1!$M$5:$U$192,9,TRUE)=0,"",IF(ABS(D162-VLOOKUP($D162,Sheet1!$M$5:$U$192,9,TRUE))&lt;10^-10,"Alt.",D162-VLOOKUP($D162,Sheet1!$M$5:$U$192,9,TRUE)))</f>
        <v>0.16435819081940117</v>
      </c>
      <c r="V162" s="132">
        <f>$D162-Sheet1!$M$3*$R162</f>
        <v>-3.0417372418084732E-2</v>
      </c>
      <c r="Z162" s="6"/>
      <c r="AA162" s="61"/>
    </row>
    <row r="163" spans="1:27" ht="13.5">
      <c r="A163" t="s">
        <v>759</v>
      </c>
      <c r="B163">
        <v>8347288</v>
      </c>
      <c r="C163">
        <v>8368747</v>
      </c>
      <c r="D163" s="13">
        <f t="shared" ref="D163:D194" si="5">1200*LN($C163/$B163)/LN(2)</f>
        <v>4.444902378674632</v>
      </c>
      <c r="E163" s="61" t="s">
        <v>1931</v>
      </c>
      <c r="F163" s="65">
        <v>9412158.0979711879</v>
      </c>
      <c r="G163" s="6">
        <v>718</v>
      </c>
      <c r="H163" s="6">
        <v>605</v>
      </c>
      <c r="I163" s="65">
        <v>-0.27368883311601627</v>
      </c>
      <c r="J163" s="6">
        <f>VLOOKUP($D163,Sheet1!$A$5:$C$192,3,TRUE)</f>
        <v>1</v>
      </c>
      <c r="K163" s="42" t="str">
        <f>VLOOKUP($D163,Sheet1!$A$5:$C$192,2,TRUE)</f>
        <v>|(</v>
      </c>
      <c r="L163" s="6">
        <f>FLOOR(VLOOKUP($D163,Sheet1!$D$5:$F$192,3,TRUE),1)</f>
        <v>1</v>
      </c>
      <c r="M163" s="42" t="str">
        <f>VLOOKUP($D163,Sheet1!$D$5:$F$192,2,TRUE)</f>
        <v>)|</v>
      </c>
      <c r="N163" s="23">
        <f>FLOOR(VLOOKUP($D163,Sheet1!$G$5:$I$192,3,TRUE),1)</f>
        <v>2</v>
      </c>
      <c r="O163" s="42" t="str">
        <f>VLOOKUP($D163,Sheet1!$G$5:$I$192,2,TRUE)</f>
        <v>)|</v>
      </c>
      <c r="P163" s="23">
        <v>1</v>
      </c>
      <c r="Q163" s="43" t="str">
        <f>VLOOKUP($D163,Sheet1!$J$5:$L$192,2,TRUE)</f>
        <v>)|''</v>
      </c>
      <c r="R163" s="23">
        <f>FLOOR(VLOOKUP($D163,Sheet1!$M$5:$O$192,3,TRUE),1)</f>
        <v>9</v>
      </c>
      <c r="S163" s="42" t="str">
        <f>VLOOKUP($D163,Sheet1!$M$5:$O$192,2,TRUE)</f>
        <v>)|''</v>
      </c>
      <c r="T163" s="117">
        <f>IF(ABS(D163-VLOOKUP($D163,Sheet1!$M$5:$T$192,8,TRUE))&lt;10^-10,"SoCA",D163-VLOOKUP($D163,Sheet1!$M$5:$T$192,8,TRUE))</f>
        <v>0.23435944610818726</v>
      </c>
      <c r="U163" s="109">
        <f>IF(VLOOKUP($D163,Sheet1!$M$5:$U$192,9,TRUE)=0,"",IF(ABS(D163-VLOOKUP($D163,Sheet1!$M$5:$U$192,9,TRUE))&lt;10^-10,"Alt.",D163-VLOOKUP($D163,Sheet1!$M$5:$U$192,9,TRUE)))</f>
        <v>0.24841161350264418</v>
      </c>
      <c r="V163" s="132">
        <f>$D163-Sheet1!$M$3*$R163</f>
        <v>5.3636050265158275E-2</v>
      </c>
      <c r="Z163" s="6"/>
      <c r="AA163" s="61"/>
    </row>
    <row r="164" spans="1:27" ht="13.5">
      <c r="A164" s="85" t="s">
        <v>25</v>
      </c>
      <c r="B164" s="36">
        <f>3^3*13</f>
        <v>351</v>
      </c>
      <c r="C164" s="37">
        <f>2^5*11</f>
        <v>352</v>
      </c>
      <c r="D164" s="13">
        <f t="shared" si="5"/>
        <v>4.9252779992839724</v>
      </c>
      <c r="E164" s="61">
        <v>13</v>
      </c>
      <c r="F164" s="65">
        <v>24.16083096068115</v>
      </c>
      <c r="G164" s="6">
        <v>44</v>
      </c>
      <c r="H164" s="6">
        <v>43</v>
      </c>
      <c r="I164" s="65">
        <v>-3.3032673101806025</v>
      </c>
      <c r="J164" s="6">
        <f>VLOOKUP($D164,Sheet1!$A$5:$C$192,3,TRUE)</f>
        <v>1</v>
      </c>
      <c r="K164" s="42" t="str">
        <f>VLOOKUP($D164,Sheet1!$A$5:$C$192,2,TRUE)</f>
        <v>|(</v>
      </c>
      <c r="L164" s="6">
        <f>FLOOR(VLOOKUP($D164,Sheet1!$D$5:$F$192,3,TRUE),1)</f>
        <v>2</v>
      </c>
      <c r="M164" s="42" t="str">
        <f>VLOOKUP($D164,Sheet1!$D$5:$F$192,2,TRUE)</f>
        <v>|(</v>
      </c>
      <c r="N164" s="23">
        <f>FLOOR(VLOOKUP($D164,Sheet1!$G$5:$I$192,3,TRUE),1)</f>
        <v>3</v>
      </c>
      <c r="O164" s="42" t="str">
        <f>VLOOKUP($D164,Sheet1!$G$5:$I$192,2,TRUE)</f>
        <v>|(</v>
      </c>
      <c r="P164" s="23">
        <v>1</v>
      </c>
      <c r="Q164" s="45" t="str">
        <f>VLOOKUP($D164,Sheet1!$J$5:$L$192,2,TRUE)</f>
        <v>|(..</v>
      </c>
      <c r="R164" s="38">
        <f>FLOOR(VLOOKUP($D164,Sheet1!$M$5:$O$192,3,TRUE),1)</f>
        <v>10</v>
      </c>
      <c r="S164" s="45" t="str">
        <f>VLOOKUP($D164,Sheet1!$M$5:$O$192,2,TRUE)</f>
        <v>|(..</v>
      </c>
      <c r="T164" s="112" t="str">
        <f>IF(ABS(D164-VLOOKUP($D164,Sheet1!$M$5:$T$192,8,TRUE))&lt;10^-10,"SoCA",D164-VLOOKUP($D164,Sheet1!$M$5:$T$192,8,TRUE))</f>
        <v>SoCA</v>
      </c>
      <c r="U164" s="108">
        <f>IF(VLOOKUP($D164,Sheet1!$M$5:$U$192,9,TRUE)=0,"",IF(ABS(D164-VLOOKUP($D164,Sheet1!$M$5:$U$192,9,TRUE))&lt;10^-10,"Alt.",D164-VLOOKUP($D164,Sheet1!$M$5:$U$192,9,TRUE)))</f>
        <v>-1.4052167394086545E-2</v>
      </c>
      <c r="V164" s="133">
        <f>$D164-Sheet1!$M$3*$R164</f>
        <v>4.6093189940112467E-2</v>
      </c>
      <c r="Z164" s="6"/>
      <c r="AA164" s="61"/>
    </row>
    <row r="165" spans="1:27" ht="13.5">
      <c r="A165" s="23" t="s">
        <v>495</v>
      </c>
      <c r="B165" s="23">
        <f>3*11^2</f>
        <v>363</v>
      </c>
      <c r="C165" s="23">
        <f>2^2*7*13</f>
        <v>364</v>
      </c>
      <c r="D165" s="13">
        <f t="shared" si="5"/>
        <v>4.7626826435345455</v>
      </c>
      <c r="E165" s="61">
        <v>13</v>
      </c>
      <c r="F165" s="65">
        <v>42.046521798883028</v>
      </c>
      <c r="G165" s="6">
        <v>368</v>
      </c>
      <c r="H165" s="6">
        <v>336</v>
      </c>
      <c r="I165" s="65">
        <v>-1.2932557217599783</v>
      </c>
      <c r="J165" s="6">
        <f>VLOOKUP($D165,Sheet1!$A$5:$C$192,3,TRUE)</f>
        <v>1</v>
      </c>
      <c r="K165" s="42" t="str">
        <f>VLOOKUP($D165,Sheet1!$A$5:$C$192,2,TRUE)</f>
        <v>|(</v>
      </c>
      <c r="L165" s="6">
        <f>FLOOR(VLOOKUP($D165,Sheet1!$D$5:$F$192,3,TRUE),1)</f>
        <v>2</v>
      </c>
      <c r="M165" s="42" t="str">
        <f>VLOOKUP($D165,Sheet1!$D$5:$F$192,2,TRUE)</f>
        <v>|(</v>
      </c>
      <c r="N165" s="23">
        <f>FLOOR(VLOOKUP($D165,Sheet1!$G$5:$I$192,3,TRUE),1)</f>
        <v>3</v>
      </c>
      <c r="O165" s="42" t="str">
        <f>VLOOKUP($D165,Sheet1!$G$5:$I$192,2,TRUE)</f>
        <v>|(</v>
      </c>
      <c r="P165" s="23">
        <v>1</v>
      </c>
      <c r="Q165" s="43" t="str">
        <f>VLOOKUP($D165,Sheet1!$J$5:$L$192,2,TRUE)</f>
        <v>|(..</v>
      </c>
      <c r="R165" s="23">
        <f>FLOOR(VLOOKUP($D165,Sheet1!$M$5:$O$192,3,TRUE),1)</f>
        <v>10</v>
      </c>
      <c r="S165" s="43" t="str">
        <f>VLOOKUP($D165,Sheet1!$M$5:$O$192,2,TRUE)</f>
        <v>|(..</v>
      </c>
      <c r="T165" s="117">
        <f>IF(ABS(D165-VLOOKUP($D165,Sheet1!$M$5:$T$192,8,TRUE))&lt;10^-10,"SoCA",D165-VLOOKUP($D165,Sheet1!$M$5:$T$192,8,TRUE))</f>
        <v>-0.16259535574905648</v>
      </c>
      <c r="U165" s="117">
        <f>IF(VLOOKUP($D165,Sheet1!$M$5:$U$192,9,TRUE)=0,"",IF(ABS(D165-VLOOKUP($D165,Sheet1!$M$5:$U$192,9,TRUE))&lt;10^-10,"Alt.",D165-VLOOKUP($D165,Sheet1!$M$5:$U$192,9,TRUE)))</f>
        <v>-0.1766475231435134</v>
      </c>
      <c r="V165" s="132">
        <f>$D165-Sheet1!$M$3*$R165</f>
        <v>-0.11650216580931438</v>
      </c>
      <c r="Z165" s="6"/>
      <c r="AA165" s="61"/>
    </row>
    <row r="166" spans="1:27" ht="13.5">
      <c r="A166" s="6" t="s">
        <v>996</v>
      </c>
      <c r="B166" s="6">
        <f>2*5^2*7</f>
        <v>350</v>
      </c>
      <c r="C166" s="6">
        <f>3^3*13</f>
        <v>351</v>
      </c>
      <c r="D166" s="13">
        <f t="shared" si="5"/>
        <v>4.9393301666783413</v>
      </c>
      <c r="E166" s="61">
        <v>13</v>
      </c>
      <c r="F166" s="65">
        <v>42.138609194925124</v>
      </c>
      <c r="G166" s="6">
        <v>909</v>
      </c>
      <c r="H166" s="6">
        <v>844</v>
      </c>
      <c r="I166" s="65">
        <v>2.695867446678093</v>
      </c>
      <c r="J166" s="6">
        <f>VLOOKUP($D166,Sheet1!$A$5:$C$192,3,TRUE)</f>
        <v>1</v>
      </c>
      <c r="K166" s="42" t="str">
        <f>VLOOKUP($D166,Sheet1!$A$5:$C$192,2,TRUE)</f>
        <v>|(</v>
      </c>
      <c r="L166" s="6">
        <f>FLOOR(VLOOKUP($D166,Sheet1!$D$5:$F$192,3,TRUE),1)</f>
        <v>2</v>
      </c>
      <c r="M166" s="42" t="str">
        <f>VLOOKUP($D166,Sheet1!$D$5:$F$192,2,TRUE)</f>
        <v>|(</v>
      </c>
      <c r="N166" s="23">
        <f>FLOOR(VLOOKUP($D166,Sheet1!$G$5:$I$192,3,TRUE),1)</f>
        <v>3</v>
      </c>
      <c r="O166" s="42" t="str">
        <f>VLOOKUP($D166,Sheet1!$G$5:$I$192,2,TRUE)</f>
        <v>|(</v>
      </c>
      <c r="P166" s="23">
        <v>1</v>
      </c>
      <c r="Q166" s="43" t="str">
        <f>VLOOKUP($D166,Sheet1!$J$5:$L$192,2,TRUE)</f>
        <v>|(..</v>
      </c>
      <c r="R166" s="23">
        <f>FLOOR(VLOOKUP($D166,Sheet1!$M$5:$O$192,3,TRUE),1)</f>
        <v>10</v>
      </c>
      <c r="S166" s="42" t="str">
        <f>VLOOKUP($D166,Sheet1!$M$5:$O$192,2,TRUE)</f>
        <v>|(..</v>
      </c>
      <c r="T166" s="117">
        <f>IF(ABS(D166-VLOOKUP($D166,Sheet1!$M$5:$T$192,8,TRUE))&lt;10^-10,"SoCA",D166-VLOOKUP($D166,Sheet1!$M$5:$T$192,8,TRUE))</f>
        <v>1.4052167394739357E-2</v>
      </c>
      <c r="U166" s="125" t="str">
        <f>IF(VLOOKUP($D166,Sheet1!$M$5:$U$192,9,TRUE)=0,"",IF(ABS(D166-VLOOKUP($D166,Sheet1!$M$5:$U$192,9,TRUE))&lt;10^-10,"Alt.",D166-VLOOKUP($D166,Sheet1!$M$5:$U$192,9,TRUE)))</f>
        <v>Alt.</v>
      </c>
      <c r="V166" s="132">
        <f>$D166-Sheet1!$M$3*$R166</f>
        <v>6.0145357334481453E-2</v>
      </c>
      <c r="Z166" s="6"/>
      <c r="AA166" s="61"/>
    </row>
    <row r="167" spans="1:27" ht="13.5">
      <c r="A167" t="s">
        <v>1396</v>
      </c>
      <c r="B167">
        <v>3670016</v>
      </c>
      <c r="C167">
        <v>3680721</v>
      </c>
      <c r="D167" s="13">
        <f t="shared" si="5"/>
        <v>5.0424531845257183</v>
      </c>
      <c r="E167" s="61">
        <v>17</v>
      </c>
      <c r="F167" s="65">
        <v>51.224436628159424</v>
      </c>
      <c r="G167" s="6">
        <v>1170</v>
      </c>
      <c r="H167" s="6">
        <v>1245</v>
      </c>
      <c r="I167" s="65">
        <v>8.6895177867716207</v>
      </c>
      <c r="J167" s="6">
        <f>VLOOKUP($D167,Sheet1!$A$5:$C$192,3,TRUE)</f>
        <v>1</v>
      </c>
      <c r="K167" s="42" t="str">
        <f>VLOOKUP($D167,Sheet1!$A$5:$C$192,2,TRUE)</f>
        <v>|(</v>
      </c>
      <c r="L167" s="6">
        <f>FLOOR(VLOOKUP($D167,Sheet1!$D$5:$F$192,3,TRUE),1)</f>
        <v>2</v>
      </c>
      <c r="M167" s="42" t="str">
        <f>VLOOKUP($D167,Sheet1!$D$5:$F$192,2,TRUE)</f>
        <v>|(</v>
      </c>
      <c r="N167" s="23">
        <f>FLOOR(VLOOKUP($D167,Sheet1!$G$5:$I$192,3,TRUE),1)</f>
        <v>3</v>
      </c>
      <c r="O167" s="42" t="str">
        <f>VLOOKUP($D167,Sheet1!$G$5:$I$192,2,TRUE)</f>
        <v>|(</v>
      </c>
      <c r="P167" s="23">
        <v>1</v>
      </c>
      <c r="Q167" s="43" t="str">
        <f>VLOOKUP($D167,Sheet1!$J$5:$L$192,2,TRUE)</f>
        <v>|(..</v>
      </c>
      <c r="R167" s="23">
        <f>FLOOR(VLOOKUP($D167,Sheet1!$M$5:$O$192,3,TRUE),1)</f>
        <v>10</v>
      </c>
      <c r="S167" s="42" t="str">
        <f>VLOOKUP($D167,Sheet1!$M$5:$O$192,2,TRUE)</f>
        <v>|(..</v>
      </c>
      <c r="T167" s="117">
        <f>IF(ABS(D167-VLOOKUP($D167,Sheet1!$M$5:$T$192,8,TRUE))&lt;10^-10,"SoCA",D167-VLOOKUP($D167,Sheet1!$M$5:$T$192,8,TRUE))</f>
        <v>0.11717518524211634</v>
      </c>
      <c r="U167" s="109">
        <f>IF(VLOOKUP($D167,Sheet1!$M$5:$U$192,9,TRUE)=0,"",IF(ABS(D167-VLOOKUP($D167,Sheet1!$M$5:$U$192,9,TRUE))&lt;10^-10,"Alt.",D167-VLOOKUP($D167,Sheet1!$M$5:$U$192,9,TRUE)))</f>
        <v>0.10312301784765943</v>
      </c>
      <c r="V167" s="132">
        <f>$D167-Sheet1!$M$3*$R167</f>
        <v>0.16326837518185844</v>
      </c>
      <c r="Z167" s="6"/>
      <c r="AA167" s="61"/>
    </row>
    <row r="168" spans="1:27" ht="13.5">
      <c r="A168" t="s">
        <v>1524</v>
      </c>
      <c r="B168">
        <v>8365275</v>
      </c>
      <c r="C168">
        <v>8388608</v>
      </c>
      <c r="D168" s="13">
        <f t="shared" si="5"/>
        <v>4.8221549814364861</v>
      </c>
      <c r="E168" s="61">
        <v>17</v>
      </c>
      <c r="F168" s="65">
        <v>53.812365359181435</v>
      </c>
      <c r="G168" s="6">
        <v>1288</v>
      </c>
      <c r="H168" s="6">
        <v>1373</v>
      </c>
      <c r="I168" s="65">
        <v>-9.2969176502741249</v>
      </c>
      <c r="J168" s="6">
        <f>VLOOKUP($D168,Sheet1!$A$5:$C$192,3,TRUE)</f>
        <v>1</v>
      </c>
      <c r="K168" s="42" t="str">
        <f>VLOOKUP($D168,Sheet1!$A$5:$C$192,2,TRUE)</f>
        <v>|(</v>
      </c>
      <c r="L168" s="6">
        <f>FLOOR(VLOOKUP($D168,Sheet1!$D$5:$F$192,3,TRUE),1)</f>
        <v>2</v>
      </c>
      <c r="M168" s="42" t="str">
        <f>VLOOKUP($D168,Sheet1!$D$5:$F$192,2,TRUE)</f>
        <v>|(</v>
      </c>
      <c r="N168" s="23">
        <f>FLOOR(VLOOKUP($D168,Sheet1!$G$5:$I$192,3,TRUE),1)</f>
        <v>3</v>
      </c>
      <c r="O168" s="42" t="str">
        <f>VLOOKUP($D168,Sheet1!$G$5:$I$192,2,TRUE)</f>
        <v>|(</v>
      </c>
      <c r="P168" s="23">
        <v>1</v>
      </c>
      <c r="Q168" s="43" t="str">
        <f>VLOOKUP($D168,Sheet1!$J$5:$L$192,2,TRUE)</f>
        <v>|(..</v>
      </c>
      <c r="R168" s="23">
        <f>FLOOR(VLOOKUP($D168,Sheet1!$M$5:$O$192,3,TRUE),1)</f>
        <v>10</v>
      </c>
      <c r="S168" s="42" t="str">
        <f>VLOOKUP($D168,Sheet1!$M$5:$O$192,2,TRUE)</f>
        <v>|(..</v>
      </c>
      <c r="T168" s="117">
        <f>IF(ABS(D168-VLOOKUP($D168,Sheet1!$M$5:$T$192,8,TRUE))&lt;10^-10,"SoCA",D168-VLOOKUP($D168,Sheet1!$M$5:$T$192,8,TRUE))</f>
        <v>-0.10312301784711586</v>
      </c>
      <c r="U168" s="109">
        <f>IF(VLOOKUP($D168,Sheet1!$M$5:$U$192,9,TRUE)=0,"",IF(ABS(D168-VLOOKUP($D168,Sheet1!$M$5:$U$192,9,TRUE))&lt;10^-10,"Alt.",D168-VLOOKUP($D168,Sheet1!$M$5:$U$192,9,TRUE)))</f>
        <v>-0.11717518524157278</v>
      </c>
      <c r="V168" s="132">
        <f>$D168-Sheet1!$M$3*$R168</f>
        <v>-5.7029827907373765E-2</v>
      </c>
      <c r="Z168" s="6"/>
      <c r="AA168" s="61"/>
    </row>
    <row r="169" spans="1:27" ht="13.5">
      <c r="A169" t="s">
        <v>999</v>
      </c>
      <c r="B169">
        <v>35840</v>
      </c>
      <c r="C169">
        <v>35937</v>
      </c>
      <c r="D169" s="13">
        <f t="shared" si="5"/>
        <v>4.6792093564724873</v>
      </c>
      <c r="E169" s="61">
        <v>11</v>
      </c>
      <c r="F169" s="65">
        <v>54.154752668223203</v>
      </c>
      <c r="G169" s="6">
        <v>912</v>
      </c>
      <c r="H169" s="6">
        <v>847</v>
      </c>
      <c r="I169" s="65">
        <v>2.7118840326341744</v>
      </c>
      <c r="J169" s="6">
        <f>VLOOKUP($D169,Sheet1!$A$5:$C$192,3,TRUE)</f>
        <v>1</v>
      </c>
      <c r="K169" s="42" t="str">
        <f>VLOOKUP($D169,Sheet1!$A$5:$C$192,2,TRUE)</f>
        <v>|(</v>
      </c>
      <c r="L169" s="6">
        <f>FLOOR(VLOOKUP($D169,Sheet1!$D$5:$F$192,3,TRUE),1)</f>
        <v>2</v>
      </c>
      <c r="M169" s="42" t="str">
        <f>VLOOKUP($D169,Sheet1!$D$5:$F$192,2,TRUE)</f>
        <v>|(</v>
      </c>
      <c r="N169" s="23">
        <f>FLOOR(VLOOKUP($D169,Sheet1!$G$5:$I$192,3,TRUE),1)</f>
        <v>3</v>
      </c>
      <c r="O169" s="42" t="str">
        <f>VLOOKUP($D169,Sheet1!$G$5:$I$192,2,TRUE)</f>
        <v>|(</v>
      </c>
      <c r="P169" s="23">
        <v>1</v>
      </c>
      <c r="Q169" s="43" t="str">
        <f>VLOOKUP($D169,Sheet1!$J$5:$L$192,2,TRUE)</f>
        <v>|(..</v>
      </c>
      <c r="R169" s="23">
        <f>FLOOR(VLOOKUP($D169,Sheet1!$M$5:$O$192,3,TRUE),1)</f>
        <v>10</v>
      </c>
      <c r="S169" s="42" t="str">
        <f>VLOOKUP($D169,Sheet1!$M$5:$O$192,2,TRUE)</f>
        <v>|(..</v>
      </c>
      <c r="T169" s="117">
        <f>IF(ABS(D169-VLOOKUP($D169,Sheet1!$M$5:$T$192,8,TRUE))&lt;10^-10,"SoCA",D169-VLOOKUP($D169,Sheet1!$M$5:$T$192,8,TRUE))</f>
        <v>-0.24606864281111474</v>
      </c>
      <c r="U169" s="109">
        <f>IF(VLOOKUP($D169,Sheet1!$M$5:$U$192,9,TRUE)=0,"",IF(ABS(D169-VLOOKUP($D169,Sheet1!$M$5:$U$192,9,TRUE))&lt;10^-10,"Alt.",D169-VLOOKUP($D169,Sheet1!$M$5:$U$192,9,TRUE)))</f>
        <v>-0.26012081020557165</v>
      </c>
      <c r="V169" s="132">
        <f>$D169-Sheet1!$M$3*$R169</f>
        <v>-0.19997545287137264</v>
      </c>
      <c r="Z169" s="6"/>
      <c r="AA169" s="61"/>
    </row>
    <row r="170" spans="1:27" ht="13.5">
      <c r="A170" t="s">
        <v>1700</v>
      </c>
      <c r="B170">
        <v>58880</v>
      </c>
      <c r="C170">
        <v>59049</v>
      </c>
      <c r="D170" s="13">
        <f t="shared" si="5"/>
        <v>4.9619475206238235</v>
      </c>
      <c r="E170" s="61">
        <v>23</v>
      </c>
      <c r="F170" s="65">
        <v>56.60407041920265</v>
      </c>
      <c r="G170" s="6">
        <v>1597</v>
      </c>
      <c r="H170" s="6">
        <v>1549</v>
      </c>
      <c r="I170" s="65">
        <v>9.6944748137961625</v>
      </c>
      <c r="J170" s="6">
        <f>VLOOKUP($D170,Sheet1!$A$5:$C$192,3,TRUE)</f>
        <v>1</v>
      </c>
      <c r="K170" s="42" t="str">
        <f>VLOOKUP($D170,Sheet1!$A$5:$C$192,2,TRUE)</f>
        <v>|(</v>
      </c>
      <c r="L170" s="6">
        <f>FLOOR(VLOOKUP($D170,Sheet1!$D$5:$F$192,3,TRUE),1)</f>
        <v>2</v>
      </c>
      <c r="M170" s="42" t="str">
        <f>VLOOKUP($D170,Sheet1!$D$5:$F$192,2,TRUE)</f>
        <v>|(</v>
      </c>
      <c r="N170" s="23">
        <f>FLOOR(VLOOKUP($D170,Sheet1!$G$5:$I$192,3,TRUE),1)</f>
        <v>3</v>
      </c>
      <c r="O170" s="42" t="str">
        <f>VLOOKUP($D170,Sheet1!$G$5:$I$192,2,TRUE)</f>
        <v>|(</v>
      </c>
      <c r="P170" s="23">
        <v>1</v>
      </c>
      <c r="Q170" s="43" t="str">
        <f>VLOOKUP($D170,Sheet1!$J$5:$L$192,2,TRUE)</f>
        <v>|(..</v>
      </c>
      <c r="R170" s="23">
        <f>FLOOR(VLOOKUP($D170,Sheet1!$M$5:$O$192,3,TRUE),1)</f>
        <v>10</v>
      </c>
      <c r="S170" s="42" t="str">
        <f>VLOOKUP($D170,Sheet1!$M$5:$O$192,2,TRUE)</f>
        <v>|(..</v>
      </c>
      <c r="T170" s="117">
        <f>IF(ABS(D170-VLOOKUP($D170,Sheet1!$M$5:$T$192,8,TRUE))&lt;10^-10,"SoCA",D170-VLOOKUP($D170,Sheet1!$M$5:$T$192,8,TRUE))</f>
        <v>3.66695213402215E-2</v>
      </c>
      <c r="U170" s="109">
        <f>IF(VLOOKUP($D170,Sheet1!$M$5:$U$192,9,TRUE)=0,"",IF(ABS(D170-VLOOKUP($D170,Sheet1!$M$5:$U$192,9,TRUE))&lt;10^-10,"Alt.",D170-VLOOKUP($D170,Sheet1!$M$5:$U$192,9,TRUE)))</f>
        <v>2.2617353945764584E-2</v>
      </c>
      <c r="V170" s="132">
        <f>$D170-Sheet1!$M$3*$R170</f>
        <v>8.2762711279963597E-2</v>
      </c>
      <c r="Z170" s="6"/>
      <c r="AA170" s="61"/>
    </row>
    <row r="171" spans="1:27" ht="13.5">
      <c r="A171" t="s">
        <v>1194</v>
      </c>
      <c r="B171">
        <v>1696</v>
      </c>
      <c r="C171">
        <v>1701</v>
      </c>
      <c r="D171" s="13">
        <f t="shared" si="5"/>
        <v>5.0963653202228221</v>
      </c>
      <c r="E171" s="61" t="s">
        <v>1931</v>
      </c>
      <c r="F171" s="65">
        <v>60.658271512362681</v>
      </c>
      <c r="G171" s="6">
        <v>1100</v>
      </c>
      <c r="H171" s="6">
        <v>1043</v>
      </c>
      <c r="I171" s="65">
        <v>4.6861982201641466</v>
      </c>
      <c r="J171" s="6">
        <f>VLOOKUP($D171,Sheet1!$A$5:$C$192,3,TRUE)</f>
        <v>1</v>
      </c>
      <c r="K171" s="42" t="str">
        <f>VLOOKUP($D171,Sheet1!$A$5:$C$192,2,TRUE)</f>
        <v>|(</v>
      </c>
      <c r="L171" s="6">
        <f>FLOOR(VLOOKUP($D171,Sheet1!$D$5:$F$192,3,TRUE),1)</f>
        <v>2</v>
      </c>
      <c r="M171" s="42" t="str">
        <f>VLOOKUP($D171,Sheet1!$D$5:$F$192,2,TRUE)</f>
        <v>|(</v>
      </c>
      <c r="N171" s="23">
        <f>FLOOR(VLOOKUP($D171,Sheet1!$G$5:$I$192,3,TRUE),1)</f>
        <v>3</v>
      </c>
      <c r="O171" s="42" t="str">
        <f>VLOOKUP($D171,Sheet1!$G$5:$I$192,2,TRUE)</f>
        <v>|(</v>
      </c>
      <c r="P171" s="23">
        <v>1</v>
      </c>
      <c r="Q171" s="43" t="str">
        <f>VLOOKUP($D171,Sheet1!$J$5:$L$192,2,TRUE)</f>
        <v>|(..</v>
      </c>
      <c r="R171" s="23">
        <f>FLOOR(VLOOKUP($D171,Sheet1!$M$5:$O$192,3,TRUE),1)</f>
        <v>10</v>
      </c>
      <c r="S171" s="42" t="str">
        <f>VLOOKUP($D171,Sheet1!$M$5:$O$192,2,TRUE)</f>
        <v>|(..</v>
      </c>
      <c r="T171" s="117">
        <f>IF(ABS(D171-VLOOKUP($D171,Sheet1!$M$5:$T$192,8,TRUE))&lt;10^-10,"SoCA",D171-VLOOKUP($D171,Sheet1!$M$5:$T$192,8,TRUE))</f>
        <v>0.17108732093922008</v>
      </c>
      <c r="U171" s="109">
        <f>IF(VLOOKUP($D171,Sheet1!$M$5:$U$192,9,TRUE)=0,"",IF(ABS(D171-VLOOKUP($D171,Sheet1!$M$5:$U$192,9,TRUE))&lt;10^-10,"Alt.",D171-VLOOKUP($D171,Sheet1!$M$5:$U$192,9,TRUE)))</f>
        <v>0.15703515354476316</v>
      </c>
      <c r="V171" s="132">
        <f>$D171-Sheet1!$M$3*$R171</f>
        <v>0.21718051087896217</v>
      </c>
      <c r="Z171" s="6"/>
      <c r="AA171" s="61"/>
    </row>
    <row r="172" spans="1:27" ht="13.5">
      <c r="A172" t="s">
        <v>612</v>
      </c>
      <c r="B172">
        <v>368</v>
      </c>
      <c r="C172">
        <v>369</v>
      </c>
      <c r="D172" s="13">
        <f t="shared" si="5"/>
        <v>4.6980600040599381</v>
      </c>
      <c r="E172" s="61">
        <v>41</v>
      </c>
      <c r="F172" s="65">
        <v>64.084168914232478</v>
      </c>
      <c r="G172" s="6">
        <v>506</v>
      </c>
      <c r="H172" s="6">
        <v>457</v>
      </c>
      <c r="I172" s="65">
        <v>1.7107233295855668</v>
      </c>
      <c r="J172" s="6">
        <f>VLOOKUP($D172,Sheet1!$A$5:$C$192,3,TRUE)</f>
        <v>1</v>
      </c>
      <c r="K172" s="42" t="str">
        <f>VLOOKUP($D172,Sheet1!$A$5:$C$192,2,TRUE)</f>
        <v>|(</v>
      </c>
      <c r="L172" s="6">
        <f>FLOOR(VLOOKUP($D172,Sheet1!$D$5:$F$192,3,TRUE),1)</f>
        <v>2</v>
      </c>
      <c r="M172" s="42" t="str">
        <f>VLOOKUP($D172,Sheet1!$D$5:$F$192,2,TRUE)</f>
        <v>|(</v>
      </c>
      <c r="N172" s="23">
        <f>FLOOR(VLOOKUP($D172,Sheet1!$G$5:$I$192,3,TRUE),1)</f>
        <v>3</v>
      </c>
      <c r="O172" s="42" t="str">
        <f>VLOOKUP($D172,Sheet1!$G$5:$I$192,2,TRUE)</f>
        <v>|(</v>
      </c>
      <c r="P172" s="23">
        <v>1</v>
      </c>
      <c r="Q172" s="43" t="str">
        <f>VLOOKUP($D172,Sheet1!$J$5:$L$192,2,TRUE)</f>
        <v>|(..</v>
      </c>
      <c r="R172" s="23">
        <f>FLOOR(VLOOKUP($D172,Sheet1!$M$5:$O$192,3,TRUE),1)</f>
        <v>10</v>
      </c>
      <c r="S172" s="42" t="str">
        <f>VLOOKUP($D172,Sheet1!$M$5:$O$192,2,TRUE)</f>
        <v>|(..</v>
      </c>
      <c r="T172" s="117">
        <f>IF(ABS(D172-VLOOKUP($D172,Sheet1!$M$5:$T$192,8,TRUE))&lt;10^-10,"SoCA",D172-VLOOKUP($D172,Sheet1!$M$5:$T$192,8,TRUE))</f>
        <v>-0.22721799522366393</v>
      </c>
      <c r="U172" s="109">
        <f>IF(VLOOKUP($D172,Sheet1!$M$5:$U$192,9,TRUE)=0,"",IF(ABS(D172-VLOOKUP($D172,Sheet1!$M$5:$U$192,9,TRUE))&lt;10^-10,"Alt.",D172-VLOOKUP($D172,Sheet1!$M$5:$U$192,9,TRUE)))</f>
        <v>-0.24127016261812084</v>
      </c>
      <c r="V172" s="132">
        <f>$D172-Sheet1!$M$3*$R172</f>
        <v>-0.18112480528392183</v>
      </c>
      <c r="Z172" s="6"/>
      <c r="AA172" s="61"/>
    </row>
    <row r="173" spans="1:27" ht="13.5">
      <c r="A173" t="s">
        <v>656</v>
      </c>
      <c r="B173">
        <v>167936</v>
      </c>
      <c r="C173">
        <v>168399</v>
      </c>
      <c r="D173" s="13">
        <f t="shared" si="5"/>
        <v>4.7664493498930174</v>
      </c>
      <c r="E173" s="61">
        <v>41</v>
      </c>
      <c r="F173" s="65">
        <v>73.439292919623028</v>
      </c>
      <c r="G173" s="6">
        <v>489</v>
      </c>
      <c r="H173" s="6">
        <v>501</v>
      </c>
      <c r="I173" s="65">
        <v>6.7065123484066724</v>
      </c>
      <c r="J173" s="6">
        <f>VLOOKUP($D173,Sheet1!$A$5:$C$192,3,TRUE)</f>
        <v>1</v>
      </c>
      <c r="K173" s="42" t="str">
        <f>VLOOKUP($D173,Sheet1!$A$5:$C$192,2,TRUE)</f>
        <v>|(</v>
      </c>
      <c r="L173" s="6">
        <f>FLOOR(VLOOKUP($D173,Sheet1!$D$5:$F$192,3,TRUE),1)</f>
        <v>2</v>
      </c>
      <c r="M173" s="42" t="str">
        <f>VLOOKUP($D173,Sheet1!$D$5:$F$192,2,TRUE)</f>
        <v>|(</v>
      </c>
      <c r="N173" s="23">
        <f>FLOOR(VLOOKUP($D173,Sheet1!$G$5:$I$192,3,TRUE),1)</f>
        <v>3</v>
      </c>
      <c r="O173" s="42" t="str">
        <f>VLOOKUP($D173,Sheet1!$G$5:$I$192,2,TRUE)</f>
        <v>|(</v>
      </c>
      <c r="P173" s="23">
        <v>1</v>
      </c>
      <c r="Q173" s="43" t="str">
        <f>VLOOKUP($D173,Sheet1!$J$5:$L$192,2,TRUE)</f>
        <v>|(..</v>
      </c>
      <c r="R173" s="23">
        <f>FLOOR(VLOOKUP($D173,Sheet1!$M$5:$O$192,3,TRUE),1)</f>
        <v>10</v>
      </c>
      <c r="S173" s="42" t="str">
        <f>VLOOKUP($D173,Sheet1!$M$5:$O$192,2,TRUE)</f>
        <v>|(..</v>
      </c>
      <c r="T173" s="117">
        <f>IF(ABS(D173-VLOOKUP($D173,Sheet1!$M$5:$T$192,8,TRUE))&lt;10^-10,"SoCA",D173-VLOOKUP($D173,Sheet1!$M$5:$T$192,8,TRUE))</f>
        <v>-0.15882864939058461</v>
      </c>
      <c r="U173" s="109">
        <f>IF(VLOOKUP($D173,Sheet1!$M$5:$U$192,9,TRUE)=0,"",IF(ABS(D173-VLOOKUP($D173,Sheet1!$M$5:$U$192,9,TRUE))&lt;10^-10,"Alt.",D173-VLOOKUP($D173,Sheet1!$M$5:$U$192,9,TRUE)))</f>
        <v>-0.17288081678504152</v>
      </c>
      <c r="V173" s="132">
        <f>$D173-Sheet1!$M$3*$R173</f>
        <v>-0.11273545945084251</v>
      </c>
      <c r="Z173" s="6"/>
      <c r="AA173" s="61"/>
    </row>
    <row r="174" spans="1:27" ht="13.5">
      <c r="A174" s="6" t="s">
        <v>1807</v>
      </c>
      <c r="B174">
        <v>4063232</v>
      </c>
      <c r="C174">
        <v>4074381</v>
      </c>
      <c r="D174" s="13">
        <f t="shared" si="5"/>
        <v>4.7437843234269277</v>
      </c>
      <c r="E174" s="61">
        <v>31</v>
      </c>
      <c r="F174" s="65">
        <v>95.368146825934218</v>
      </c>
      <c r="G174" s="59">
        <v>547</v>
      </c>
      <c r="H174" s="63">
        <v>1000012</v>
      </c>
      <c r="I174" s="65">
        <v>10.707907916659376</v>
      </c>
      <c r="J174" s="6">
        <f>VLOOKUP($D174,Sheet1!$A$5:$C$192,3,TRUE)</f>
        <v>1</v>
      </c>
      <c r="K174" s="42" t="str">
        <f>VLOOKUP($D174,Sheet1!$A$5:$C$192,2,TRUE)</f>
        <v>|(</v>
      </c>
      <c r="L174" s="6">
        <f>FLOOR(VLOOKUP($D174,Sheet1!$D$5:$F$192,3,TRUE),1)</f>
        <v>2</v>
      </c>
      <c r="M174" s="42" t="str">
        <f>VLOOKUP($D174,Sheet1!$D$5:$F$192,2,TRUE)</f>
        <v>|(</v>
      </c>
      <c r="N174" s="23">
        <f>FLOOR(VLOOKUP($D174,Sheet1!$G$5:$I$192,3,TRUE),1)</f>
        <v>3</v>
      </c>
      <c r="O174" s="42" t="str">
        <f>VLOOKUP($D174,Sheet1!$G$5:$I$192,2,TRUE)</f>
        <v>|(</v>
      </c>
      <c r="P174" s="23">
        <v>1</v>
      </c>
      <c r="Q174" s="43" t="str">
        <f>VLOOKUP($D174,Sheet1!$J$5:$L$192,2,TRUE)</f>
        <v>|(..</v>
      </c>
      <c r="R174" s="23">
        <f>FLOOR(VLOOKUP($D174,Sheet1!$M$5:$O$192,3,TRUE),1)</f>
        <v>10</v>
      </c>
      <c r="S174" s="42" t="str">
        <f>VLOOKUP($D174,Sheet1!$M$5:$O$192,2,TRUE)</f>
        <v>|(..</v>
      </c>
      <c r="T174" s="117">
        <f>IF(ABS(D174-VLOOKUP($D174,Sheet1!$M$5:$T$192,8,TRUE))&lt;10^-10,"SoCA",D174-VLOOKUP($D174,Sheet1!$M$5:$T$192,8,TRUE))</f>
        <v>-0.18149367585667431</v>
      </c>
      <c r="U174" s="109">
        <f>IF(VLOOKUP($D174,Sheet1!$M$5:$U$192,9,TRUE)=0,"",IF(ABS(D174-VLOOKUP($D174,Sheet1!$M$5:$U$192,9,TRUE))&lt;10^-10,"Alt.",D174-VLOOKUP($D174,Sheet1!$M$5:$U$192,9,TRUE)))</f>
        <v>-0.19554584325113122</v>
      </c>
      <c r="V174" s="132">
        <f>$D174-Sheet1!$M$3*$R174</f>
        <v>-0.13540048591693221</v>
      </c>
      <c r="Z174" s="6"/>
      <c r="AA174" s="61"/>
    </row>
    <row r="175" spans="1:27" ht="13.5">
      <c r="A175" t="s">
        <v>1660</v>
      </c>
      <c r="B175">
        <v>1633689</v>
      </c>
      <c r="C175">
        <v>1638400</v>
      </c>
      <c r="D175" s="13">
        <f t="shared" si="5"/>
        <v>4.9851023248730764</v>
      </c>
      <c r="E175" s="61" t="s">
        <v>1931</v>
      </c>
      <c r="F175" s="65">
        <v>126.00720762749862</v>
      </c>
      <c r="G175" s="6">
        <v>1565</v>
      </c>
      <c r="H175" s="6">
        <v>1509</v>
      </c>
      <c r="I175" s="65">
        <v>-9.3069509118590084</v>
      </c>
      <c r="J175" s="6">
        <f>VLOOKUP($D175,Sheet1!$A$5:$C$192,3,TRUE)</f>
        <v>1</v>
      </c>
      <c r="K175" s="42" t="str">
        <f>VLOOKUP($D175,Sheet1!$A$5:$C$192,2,TRUE)</f>
        <v>|(</v>
      </c>
      <c r="L175" s="6">
        <f>FLOOR(VLOOKUP($D175,Sheet1!$D$5:$F$192,3,TRUE),1)</f>
        <v>2</v>
      </c>
      <c r="M175" s="42" t="str">
        <f>VLOOKUP($D175,Sheet1!$D$5:$F$192,2,TRUE)</f>
        <v>|(</v>
      </c>
      <c r="N175" s="23">
        <f>FLOOR(VLOOKUP($D175,Sheet1!$G$5:$I$192,3,TRUE),1)</f>
        <v>3</v>
      </c>
      <c r="O175" s="42" t="str">
        <f>VLOOKUP($D175,Sheet1!$G$5:$I$192,2,TRUE)</f>
        <v>|(</v>
      </c>
      <c r="P175" s="23">
        <v>1</v>
      </c>
      <c r="Q175" s="43" t="str">
        <f>VLOOKUP($D175,Sheet1!$J$5:$L$192,2,TRUE)</f>
        <v>|(..</v>
      </c>
      <c r="R175" s="23">
        <f>FLOOR(VLOOKUP($D175,Sheet1!$M$5:$O$192,3,TRUE),1)</f>
        <v>10</v>
      </c>
      <c r="S175" s="42" t="str">
        <f>VLOOKUP($D175,Sheet1!$M$5:$O$192,2,TRUE)</f>
        <v>|(..</v>
      </c>
      <c r="T175" s="117">
        <f>IF(ABS(D175-VLOOKUP($D175,Sheet1!$M$5:$T$192,8,TRUE))&lt;10^-10,"SoCA",D175-VLOOKUP($D175,Sheet1!$M$5:$T$192,8,TRUE))</f>
        <v>5.982432558947437E-2</v>
      </c>
      <c r="U175" s="109">
        <f>IF(VLOOKUP($D175,Sheet1!$M$5:$U$192,9,TRUE)=0,"",IF(ABS(D175-VLOOKUP($D175,Sheet1!$M$5:$U$192,9,TRUE))&lt;10^-10,"Alt.",D175-VLOOKUP($D175,Sheet1!$M$5:$U$192,9,TRUE)))</f>
        <v>4.5772158195017454E-2</v>
      </c>
      <c r="V175" s="132">
        <f>$D175-Sheet1!$M$3*$R175</f>
        <v>0.10591751552921647</v>
      </c>
      <c r="Z175" s="6"/>
      <c r="AA175" s="61"/>
    </row>
    <row r="176" spans="1:27" ht="13.5">
      <c r="A176" t="s">
        <v>760</v>
      </c>
      <c r="B176">
        <v>16337</v>
      </c>
      <c r="C176">
        <v>16384</v>
      </c>
      <c r="D176" s="13">
        <f t="shared" si="5"/>
        <v>4.9734455710920322</v>
      </c>
      <c r="E176" s="61">
        <v>31</v>
      </c>
      <c r="F176" s="65">
        <v>126.42714648125397</v>
      </c>
      <c r="G176" s="6">
        <v>719</v>
      </c>
      <c r="H176" s="6">
        <v>606</v>
      </c>
      <c r="I176" s="65">
        <v>-0.30623316306084308</v>
      </c>
      <c r="J176" s="6">
        <f>VLOOKUP($D176,Sheet1!$A$5:$C$192,3,TRUE)</f>
        <v>1</v>
      </c>
      <c r="K176" s="42" t="str">
        <f>VLOOKUP($D176,Sheet1!$A$5:$C$192,2,TRUE)</f>
        <v>|(</v>
      </c>
      <c r="L176" s="6">
        <f>FLOOR(VLOOKUP($D176,Sheet1!$D$5:$F$192,3,TRUE),1)</f>
        <v>2</v>
      </c>
      <c r="M176" s="42" t="str">
        <f>VLOOKUP($D176,Sheet1!$D$5:$F$192,2,TRUE)</f>
        <v>|(</v>
      </c>
      <c r="N176" s="23">
        <f>FLOOR(VLOOKUP($D176,Sheet1!$G$5:$I$192,3,TRUE),1)</f>
        <v>3</v>
      </c>
      <c r="O176" s="42" t="str">
        <f>VLOOKUP($D176,Sheet1!$G$5:$I$192,2,TRUE)</f>
        <v>|(</v>
      </c>
      <c r="P176" s="23">
        <v>1</v>
      </c>
      <c r="Q176" s="43" t="str">
        <f>VLOOKUP($D176,Sheet1!$J$5:$L$192,2,TRUE)</f>
        <v>|(..</v>
      </c>
      <c r="R176" s="23">
        <f>FLOOR(VLOOKUP($D176,Sheet1!$M$5:$O$192,3,TRUE),1)</f>
        <v>10</v>
      </c>
      <c r="S176" s="42" t="str">
        <f>VLOOKUP($D176,Sheet1!$M$5:$O$192,2,TRUE)</f>
        <v>|(..</v>
      </c>
      <c r="T176" s="117">
        <f>IF(ABS(D176-VLOOKUP($D176,Sheet1!$M$5:$T$192,8,TRUE))&lt;10^-10,"SoCA",D176-VLOOKUP($D176,Sheet1!$M$5:$T$192,8,TRUE))</f>
        <v>4.8167571808430232E-2</v>
      </c>
      <c r="U176" s="109">
        <f>IF(VLOOKUP($D176,Sheet1!$M$5:$U$192,9,TRUE)=0,"",IF(ABS(D176-VLOOKUP($D176,Sheet1!$M$5:$U$192,9,TRUE))&lt;10^-10,"Alt.",D176-VLOOKUP($D176,Sheet1!$M$5:$U$192,9,TRUE)))</f>
        <v>3.4115404413973316E-2</v>
      </c>
      <c r="V176" s="132">
        <f>$D176-Sheet1!$M$3*$R176</f>
        <v>9.4260761748172328E-2</v>
      </c>
      <c r="Z176" s="6"/>
      <c r="AA176" s="61"/>
    </row>
    <row r="177" spans="1:27" ht="13.5">
      <c r="A177" t="s">
        <v>1103</v>
      </c>
      <c r="B177">
        <v>8320</v>
      </c>
      <c r="C177">
        <v>8343</v>
      </c>
      <c r="D177" s="13">
        <f t="shared" si="5"/>
        <v>4.7792604472662532</v>
      </c>
      <c r="E177" s="61" t="s">
        <v>1931</v>
      </c>
      <c r="F177" s="65">
        <v>145.58609931607293</v>
      </c>
      <c r="G177" s="6">
        <v>1016</v>
      </c>
      <c r="H177" s="6">
        <v>952</v>
      </c>
      <c r="I177" s="65">
        <v>3.7057235224680332</v>
      </c>
      <c r="J177" s="6">
        <f>VLOOKUP($D177,Sheet1!$A$5:$C$192,3,TRUE)</f>
        <v>1</v>
      </c>
      <c r="K177" s="42" t="str">
        <f>VLOOKUP($D177,Sheet1!$A$5:$C$192,2,TRUE)</f>
        <v>|(</v>
      </c>
      <c r="L177" s="6">
        <f>FLOOR(VLOOKUP($D177,Sheet1!$D$5:$F$192,3,TRUE),1)</f>
        <v>2</v>
      </c>
      <c r="M177" s="42" t="str">
        <f>VLOOKUP($D177,Sheet1!$D$5:$F$192,2,TRUE)</f>
        <v>|(</v>
      </c>
      <c r="N177" s="23">
        <f>FLOOR(VLOOKUP($D177,Sheet1!$G$5:$I$192,3,TRUE),1)</f>
        <v>3</v>
      </c>
      <c r="O177" s="42" t="str">
        <f>VLOOKUP($D177,Sheet1!$G$5:$I$192,2,TRUE)</f>
        <v>|(</v>
      </c>
      <c r="P177" s="23">
        <v>1</v>
      </c>
      <c r="Q177" s="43" t="str">
        <f>VLOOKUP($D177,Sheet1!$J$5:$L$192,2,TRUE)</f>
        <v>|(..</v>
      </c>
      <c r="R177" s="23">
        <f>FLOOR(VLOOKUP($D177,Sheet1!$M$5:$O$192,3,TRUE),1)</f>
        <v>10</v>
      </c>
      <c r="S177" s="42" t="str">
        <f>VLOOKUP($D177,Sheet1!$M$5:$O$192,2,TRUE)</f>
        <v>|(..</v>
      </c>
      <c r="T177" s="117">
        <f>IF(ABS(D177-VLOOKUP($D177,Sheet1!$M$5:$T$192,8,TRUE))&lt;10^-10,"SoCA",D177-VLOOKUP($D177,Sheet1!$M$5:$T$192,8,TRUE))</f>
        <v>-0.14601755201734878</v>
      </c>
      <c r="U177" s="109">
        <f>IF(VLOOKUP($D177,Sheet1!$M$5:$U$192,9,TRUE)=0,"",IF(ABS(D177-VLOOKUP($D177,Sheet1!$M$5:$U$192,9,TRUE))&lt;10^-10,"Alt.",D177-VLOOKUP($D177,Sheet1!$M$5:$U$192,9,TRUE)))</f>
        <v>-0.1600697194118057</v>
      </c>
      <c r="V177" s="132">
        <f>$D177-Sheet1!$M$3*$R177</f>
        <v>-9.9924362077606688E-2</v>
      </c>
      <c r="Z177" s="6"/>
      <c r="AA177" s="61"/>
    </row>
    <row r="178" spans="1:27" ht="13.5">
      <c r="A178" s="6" t="s">
        <v>1847</v>
      </c>
      <c r="B178">
        <v>3365793</v>
      </c>
      <c r="C178">
        <v>3375104</v>
      </c>
      <c r="D178" s="13">
        <f t="shared" si="5"/>
        <v>4.782606968297995</v>
      </c>
      <c r="E178" s="61" t="s">
        <v>1931</v>
      </c>
      <c r="F178" s="65">
        <v>182.70987899037536</v>
      </c>
      <c r="G178" s="59">
        <v>1662</v>
      </c>
      <c r="H178" s="63">
        <v>1000052</v>
      </c>
      <c r="I178" s="65">
        <v>-11.294482535023931</v>
      </c>
      <c r="J178" s="6">
        <f>VLOOKUP($D178,Sheet1!$A$5:$C$192,3,TRUE)</f>
        <v>1</v>
      </c>
      <c r="K178" s="42" t="str">
        <f>VLOOKUP($D178,Sheet1!$A$5:$C$192,2,TRUE)</f>
        <v>|(</v>
      </c>
      <c r="L178" s="6">
        <f>FLOOR(VLOOKUP($D178,Sheet1!$D$5:$F$192,3,TRUE),1)</f>
        <v>2</v>
      </c>
      <c r="M178" s="42" t="str">
        <f>VLOOKUP($D178,Sheet1!$D$5:$F$192,2,TRUE)</f>
        <v>|(</v>
      </c>
      <c r="N178" s="23">
        <f>FLOOR(VLOOKUP($D178,Sheet1!$G$5:$I$192,3,TRUE),1)</f>
        <v>3</v>
      </c>
      <c r="O178" s="42" t="str">
        <f>VLOOKUP($D178,Sheet1!$G$5:$I$192,2,TRUE)</f>
        <v>|(</v>
      </c>
      <c r="P178" s="23">
        <v>1</v>
      </c>
      <c r="Q178" s="43" t="str">
        <f>VLOOKUP($D178,Sheet1!$J$5:$L$192,2,TRUE)</f>
        <v>|(..</v>
      </c>
      <c r="R178" s="23">
        <f>FLOOR(VLOOKUP($D178,Sheet1!$M$5:$O$192,3,TRUE),1)</f>
        <v>10</v>
      </c>
      <c r="S178" s="42" t="str">
        <f>VLOOKUP($D178,Sheet1!$M$5:$O$192,2,TRUE)</f>
        <v>|(..</v>
      </c>
      <c r="T178" s="117">
        <f>IF(ABS(D178-VLOOKUP($D178,Sheet1!$M$5:$T$192,8,TRUE))&lt;10^-10,"SoCA",D178-VLOOKUP($D178,Sheet1!$M$5:$T$192,8,TRUE))</f>
        <v>-0.14267103098560696</v>
      </c>
      <c r="U178" s="109">
        <f>IF(VLOOKUP($D178,Sheet1!$M$5:$U$192,9,TRUE)=0,"",IF(ABS(D178-VLOOKUP($D178,Sheet1!$M$5:$U$192,9,TRUE))&lt;10^-10,"Alt.",D178-VLOOKUP($D178,Sheet1!$M$5:$U$192,9,TRUE)))</f>
        <v>-0.15672319838006388</v>
      </c>
      <c r="V178" s="132">
        <f>$D178-Sheet1!$M$3*$R178</f>
        <v>-9.6577841045864865E-2</v>
      </c>
      <c r="Z178" s="6"/>
      <c r="AA178" s="61"/>
    </row>
    <row r="179" spans="1:27" ht="13.5">
      <c r="A179" t="s">
        <v>1486</v>
      </c>
      <c r="B179">
        <v>214358881</v>
      </c>
      <c r="C179">
        <v>214990848</v>
      </c>
      <c r="D179" s="13">
        <f t="shared" si="5"/>
        <v>5.0964680050457432</v>
      </c>
      <c r="E179" s="61">
        <v>11</v>
      </c>
      <c r="F179" s="65">
        <v>234.54168990503578</v>
      </c>
      <c r="G179" s="6">
        <v>1396</v>
      </c>
      <c r="H179" s="6">
        <v>1335</v>
      </c>
      <c r="I179" s="65">
        <v>7.6861918974854984</v>
      </c>
      <c r="J179" s="6">
        <f>VLOOKUP($D179,Sheet1!$A$5:$C$192,3,TRUE)</f>
        <v>1</v>
      </c>
      <c r="K179" s="42" t="str">
        <f>VLOOKUP($D179,Sheet1!$A$5:$C$192,2,TRUE)</f>
        <v>|(</v>
      </c>
      <c r="L179" s="6">
        <f>FLOOR(VLOOKUP($D179,Sheet1!$D$5:$F$192,3,TRUE),1)</f>
        <v>2</v>
      </c>
      <c r="M179" s="42" t="str">
        <f>VLOOKUP($D179,Sheet1!$D$5:$F$192,2,TRUE)</f>
        <v>|(</v>
      </c>
      <c r="N179" s="23">
        <f>FLOOR(VLOOKUP($D179,Sheet1!$G$5:$I$192,3,TRUE),1)</f>
        <v>3</v>
      </c>
      <c r="O179" s="42" t="str">
        <f>VLOOKUP($D179,Sheet1!$G$5:$I$192,2,TRUE)</f>
        <v>|(</v>
      </c>
      <c r="P179" s="23">
        <v>1</v>
      </c>
      <c r="Q179" s="43" t="str">
        <f>VLOOKUP($D179,Sheet1!$J$5:$L$192,2,TRUE)</f>
        <v>|(..</v>
      </c>
      <c r="R179" s="23">
        <f>FLOOR(VLOOKUP($D179,Sheet1!$M$5:$O$192,3,TRUE),1)</f>
        <v>10</v>
      </c>
      <c r="S179" s="42" t="str">
        <f>VLOOKUP($D179,Sheet1!$M$5:$O$192,2,TRUE)</f>
        <v>|(..</v>
      </c>
      <c r="T179" s="117">
        <f>IF(ABS(D179-VLOOKUP($D179,Sheet1!$M$5:$T$192,8,TRUE))&lt;10^-10,"SoCA",D179-VLOOKUP($D179,Sheet1!$M$5:$T$192,8,TRUE))</f>
        <v>0.17119000576214116</v>
      </c>
      <c r="U179" s="109">
        <f>IF(VLOOKUP($D179,Sheet1!$M$5:$U$192,9,TRUE)=0,"",IF(ABS(D179-VLOOKUP($D179,Sheet1!$M$5:$U$192,9,TRUE))&lt;10^-10,"Alt.",D179-VLOOKUP($D179,Sheet1!$M$5:$U$192,9,TRUE)))</f>
        <v>0.15713783836768425</v>
      </c>
      <c r="V179" s="132">
        <f>$D179-Sheet1!$M$3*$R179</f>
        <v>0.21728319570188326</v>
      </c>
      <c r="Z179" s="6"/>
      <c r="AA179" s="61"/>
    </row>
    <row r="180" spans="1:27" ht="13.5">
      <c r="A180" t="s">
        <v>998</v>
      </c>
      <c r="B180">
        <v>12736</v>
      </c>
      <c r="C180">
        <v>12771</v>
      </c>
      <c r="D180" s="13">
        <f t="shared" si="5"/>
        <v>4.7511059510578928</v>
      </c>
      <c r="E180" s="61" t="s">
        <v>1931</v>
      </c>
      <c r="F180" s="65">
        <v>303.82241807232623</v>
      </c>
      <c r="G180" s="6">
        <v>911</v>
      </c>
      <c r="H180" s="6">
        <v>846</v>
      </c>
      <c r="I180" s="65">
        <v>2.707457097371996</v>
      </c>
      <c r="J180" s="6">
        <f>VLOOKUP($D180,Sheet1!$A$5:$C$192,3,TRUE)</f>
        <v>1</v>
      </c>
      <c r="K180" s="42" t="str">
        <f>VLOOKUP($D180,Sheet1!$A$5:$C$192,2,TRUE)</f>
        <v>|(</v>
      </c>
      <c r="L180" s="6">
        <f>FLOOR(VLOOKUP($D180,Sheet1!$D$5:$F$192,3,TRUE),1)</f>
        <v>2</v>
      </c>
      <c r="M180" s="42" t="str">
        <f>VLOOKUP($D180,Sheet1!$D$5:$F$192,2,TRUE)</f>
        <v>|(</v>
      </c>
      <c r="N180" s="23">
        <f>FLOOR(VLOOKUP($D180,Sheet1!$G$5:$I$192,3,TRUE),1)</f>
        <v>3</v>
      </c>
      <c r="O180" s="42" t="str">
        <f>VLOOKUP($D180,Sheet1!$G$5:$I$192,2,TRUE)</f>
        <v>|(</v>
      </c>
      <c r="P180" s="23">
        <v>1</v>
      </c>
      <c r="Q180" s="43" t="str">
        <f>VLOOKUP($D180,Sheet1!$J$5:$L$192,2,TRUE)</f>
        <v>|(..</v>
      </c>
      <c r="R180" s="23">
        <f>FLOOR(VLOOKUP($D180,Sheet1!$M$5:$O$192,3,TRUE),1)</f>
        <v>10</v>
      </c>
      <c r="S180" s="42" t="str">
        <f>VLOOKUP($D180,Sheet1!$M$5:$O$192,2,TRUE)</f>
        <v>|(..</v>
      </c>
      <c r="T180" s="117">
        <f>IF(ABS(D180-VLOOKUP($D180,Sheet1!$M$5:$T$192,8,TRUE))&lt;10^-10,"SoCA",D180-VLOOKUP($D180,Sheet1!$M$5:$T$192,8,TRUE))</f>
        <v>-0.1741720482257092</v>
      </c>
      <c r="U180" s="109">
        <f>IF(VLOOKUP($D180,Sheet1!$M$5:$U$192,9,TRUE)=0,"",IF(ABS(D180-VLOOKUP($D180,Sheet1!$M$5:$U$192,9,TRUE))&lt;10^-10,"Alt.",D180-VLOOKUP($D180,Sheet1!$M$5:$U$192,9,TRUE)))</f>
        <v>-0.18822421562016611</v>
      </c>
      <c r="V180" s="132">
        <f>$D180-Sheet1!$M$3*$R180</f>
        <v>-0.1280788582859671</v>
      </c>
      <c r="Z180" s="6"/>
      <c r="AA180" s="61"/>
    </row>
    <row r="181" spans="1:27" ht="13.5">
      <c r="A181" t="s">
        <v>1102</v>
      </c>
      <c r="B181">
        <v>10096</v>
      </c>
      <c r="C181">
        <v>10125</v>
      </c>
      <c r="D181" s="13">
        <f t="shared" si="5"/>
        <v>4.9657110769951762</v>
      </c>
      <c r="E181" s="61" t="s">
        <v>1931</v>
      </c>
      <c r="F181" s="65">
        <v>904.91757487464224</v>
      </c>
      <c r="G181" s="6">
        <v>1015</v>
      </c>
      <c r="H181" s="6">
        <v>951</v>
      </c>
      <c r="I181" s="65">
        <v>3.6942430779189968</v>
      </c>
      <c r="J181" s="6">
        <f>VLOOKUP($D181,Sheet1!$A$5:$C$192,3,TRUE)</f>
        <v>1</v>
      </c>
      <c r="K181" s="42" t="str">
        <f>VLOOKUP($D181,Sheet1!$A$5:$C$192,2,TRUE)</f>
        <v>|(</v>
      </c>
      <c r="L181" s="6">
        <f>FLOOR(VLOOKUP($D181,Sheet1!$D$5:$F$192,3,TRUE),1)</f>
        <v>2</v>
      </c>
      <c r="M181" s="42" t="str">
        <f>VLOOKUP($D181,Sheet1!$D$5:$F$192,2,TRUE)</f>
        <v>|(</v>
      </c>
      <c r="N181" s="23">
        <f>FLOOR(VLOOKUP($D181,Sheet1!$G$5:$I$192,3,TRUE),1)</f>
        <v>3</v>
      </c>
      <c r="O181" s="42" t="str">
        <f>VLOOKUP($D181,Sheet1!$G$5:$I$192,2,TRUE)</f>
        <v>|(</v>
      </c>
      <c r="P181" s="23">
        <v>1</v>
      </c>
      <c r="Q181" s="43" t="str">
        <f>VLOOKUP($D181,Sheet1!$J$5:$L$192,2,TRUE)</f>
        <v>|(..</v>
      </c>
      <c r="R181" s="23">
        <f>FLOOR(VLOOKUP($D181,Sheet1!$M$5:$O$192,3,TRUE),1)</f>
        <v>10</v>
      </c>
      <c r="S181" s="42" t="str">
        <f>VLOOKUP($D181,Sheet1!$M$5:$O$192,2,TRUE)</f>
        <v>|(..</v>
      </c>
      <c r="T181" s="117">
        <f>IF(ABS(D181-VLOOKUP($D181,Sheet1!$M$5:$T$192,8,TRUE))&lt;10^-10,"SoCA",D181-VLOOKUP($D181,Sheet1!$M$5:$T$192,8,TRUE))</f>
        <v>4.0433077711574228E-2</v>
      </c>
      <c r="U181" s="109">
        <f>IF(VLOOKUP($D181,Sheet1!$M$5:$U$192,9,TRUE)=0,"",IF(ABS(D181-VLOOKUP($D181,Sheet1!$M$5:$U$192,9,TRUE))&lt;10^-10,"Alt.",D181-VLOOKUP($D181,Sheet1!$M$5:$U$192,9,TRUE)))</f>
        <v>2.6380910317117312E-2</v>
      </c>
      <c r="V181" s="132">
        <f>$D181-Sheet1!$M$3*$R181</f>
        <v>8.6526267651316324E-2</v>
      </c>
      <c r="Z181" s="6"/>
      <c r="AA181" s="61"/>
    </row>
    <row r="182" spans="1:27" ht="13.5">
      <c r="A182" t="s">
        <v>551</v>
      </c>
      <c r="B182">
        <v>1787</v>
      </c>
      <c r="C182">
        <v>1792</v>
      </c>
      <c r="D182" s="13">
        <f t="shared" si="5"/>
        <v>4.8372036193361625</v>
      </c>
      <c r="E182" s="61" t="s">
        <v>1931</v>
      </c>
      <c r="F182" s="65">
        <v>1794.0461411984313</v>
      </c>
      <c r="G182" s="6">
        <v>466</v>
      </c>
      <c r="H182" s="6">
        <v>395</v>
      </c>
      <c r="I182" s="65">
        <v>-0.29784424973478002</v>
      </c>
      <c r="J182" s="6">
        <f>VLOOKUP($D182,Sheet1!$A$5:$C$192,3,TRUE)</f>
        <v>1</v>
      </c>
      <c r="K182" s="42" t="str">
        <f>VLOOKUP($D182,Sheet1!$A$5:$C$192,2,TRUE)</f>
        <v>|(</v>
      </c>
      <c r="L182" s="6">
        <f>FLOOR(VLOOKUP($D182,Sheet1!$D$5:$F$192,3,TRUE),1)</f>
        <v>2</v>
      </c>
      <c r="M182" s="42" t="str">
        <f>VLOOKUP($D182,Sheet1!$D$5:$F$192,2,TRUE)</f>
        <v>|(</v>
      </c>
      <c r="N182" s="23">
        <f>FLOOR(VLOOKUP($D182,Sheet1!$G$5:$I$192,3,TRUE),1)</f>
        <v>3</v>
      </c>
      <c r="O182" s="42" t="str">
        <f>VLOOKUP($D182,Sheet1!$G$5:$I$192,2,TRUE)</f>
        <v>|(</v>
      </c>
      <c r="P182" s="23">
        <v>1</v>
      </c>
      <c r="Q182" s="43" t="str">
        <f>VLOOKUP($D182,Sheet1!$J$5:$L$192,2,TRUE)</f>
        <v>|(..</v>
      </c>
      <c r="R182" s="23">
        <f>FLOOR(VLOOKUP($D182,Sheet1!$M$5:$O$192,3,TRUE),1)</f>
        <v>10</v>
      </c>
      <c r="S182" s="42" t="str">
        <f>VLOOKUP($D182,Sheet1!$M$5:$O$192,2,TRUE)</f>
        <v>|(..</v>
      </c>
      <c r="T182" s="117">
        <f>IF(ABS(D182-VLOOKUP($D182,Sheet1!$M$5:$T$192,8,TRUE))&lt;10^-10,"SoCA",D182-VLOOKUP($D182,Sheet1!$M$5:$T$192,8,TRUE))</f>
        <v>-8.8074379947439496E-2</v>
      </c>
      <c r="U182" s="109">
        <f>IF(VLOOKUP($D182,Sheet1!$M$5:$U$192,9,TRUE)=0,"",IF(ABS(D182-VLOOKUP($D182,Sheet1!$M$5:$U$192,9,TRUE))&lt;10^-10,"Alt.",D182-VLOOKUP($D182,Sheet1!$M$5:$U$192,9,TRUE)))</f>
        <v>-0.10212654734189641</v>
      </c>
      <c r="V182" s="132">
        <f>$D182-Sheet1!$M$3*$R182</f>
        <v>-4.19811900076974E-2</v>
      </c>
      <c r="Z182" s="6"/>
      <c r="AA182" s="61"/>
    </row>
    <row r="183" spans="1:27" ht="13.5">
      <c r="A183" t="s">
        <v>890</v>
      </c>
      <c r="B183">
        <v>2416520</v>
      </c>
      <c r="C183">
        <v>2423673</v>
      </c>
      <c r="D183" s="13">
        <f t="shared" si="5"/>
        <v>5.1169555297297711</v>
      </c>
      <c r="E183" s="61" t="s">
        <v>1931</v>
      </c>
      <c r="F183" s="65">
        <v>84764.619447519362</v>
      </c>
      <c r="G183" s="6">
        <v>799</v>
      </c>
      <c r="H183" s="6">
        <v>738</v>
      </c>
      <c r="I183" s="65">
        <v>1.6849304059505865</v>
      </c>
      <c r="J183" s="6">
        <f>VLOOKUP($D183,Sheet1!$A$5:$C$192,3,TRUE)</f>
        <v>1</v>
      </c>
      <c r="K183" s="42" t="str">
        <f>VLOOKUP($D183,Sheet1!$A$5:$C$192,2,TRUE)</f>
        <v>|(</v>
      </c>
      <c r="L183" s="6">
        <f>FLOOR(VLOOKUP($D183,Sheet1!$D$5:$F$192,3,TRUE),1)</f>
        <v>2</v>
      </c>
      <c r="M183" s="42" t="str">
        <f>VLOOKUP($D183,Sheet1!$D$5:$F$192,2,TRUE)</f>
        <v>|(</v>
      </c>
      <c r="N183" s="23">
        <f>FLOOR(VLOOKUP($D183,Sheet1!$G$5:$I$192,3,TRUE),1)</f>
        <v>3</v>
      </c>
      <c r="O183" s="42" t="str">
        <f>VLOOKUP($D183,Sheet1!$G$5:$I$192,2,TRUE)</f>
        <v>|(</v>
      </c>
      <c r="P183" s="23">
        <v>1</v>
      </c>
      <c r="Q183" s="43" t="str">
        <f>VLOOKUP($D183,Sheet1!$J$5:$L$192,2,TRUE)</f>
        <v>|(..</v>
      </c>
      <c r="R183" s="23">
        <f>FLOOR(VLOOKUP($D183,Sheet1!$M$5:$O$192,3,TRUE),1)</f>
        <v>10</v>
      </c>
      <c r="S183" s="42" t="str">
        <f>VLOOKUP($D183,Sheet1!$M$5:$O$192,2,TRUE)</f>
        <v>|(..</v>
      </c>
      <c r="T183" s="117">
        <f>IF(ABS(D183-VLOOKUP($D183,Sheet1!$M$5:$T$192,8,TRUE))&lt;10^-10,"SoCA",D183-VLOOKUP($D183,Sheet1!$M$5:$T$192,8,TRUE))</f>
        <v>0.19167753044616909</v>
      </c>
      <c r="U183" s="109">
        <f>IF(VLOOKUP($D183,Sheet1!$M$5:$U$192,9,TRUE)=0,"",IF(ABS(D183-VLOOKUP($D183,Sheet1!$M$5:$U$192,9,TRUE))&lt;10^-10,"Alt.",D183-VLOOKUP($D183,Sheet1!$M$5:$U$192,9,TRUE)))</f>
        <v>0.17762536305171217</v>
      </c>
      <c r="V183" s="132">
        <f>$D183-Sheet1!$M$3*$R183</f>
        <v>0.23777072038591118</v>
      </c>
      <c r="Z183" s="6"/>
      <c r="AA183" s="61"/>
    </row>
    <row r="184" spans="1:27" ht="13.5">
      <c r="A184" s="23" t="s">
        <v>1157</v>
      </c>
      <c r="B184" s="23">
        <f>2^2*3^4</f>
        <v>324</v>
      </c>
      <c r="C184" s="23">
        <f>5^2*13</f>
        <v>325</v>
      </c>
      <c r="D184" s="13">
        <f t="shared" si="5"/>
        <v>5.33508603743058</v>
      </c>
      <c r="E184" s="61">
        <v>13</v>
      </c>
      <c r="F184" s="65">
        <v>37.120886957809567</v>
      </c>
      <c r="G184" s="6">
        <v>1059</v>
      </c>
      <c r="H184" s="6">
        <v>1006</v>
      </c>
      <c r="I184" s="65">
        <v>-4.3285006841012583</v>
      </c>
      <c r="J184" s="6">
        <f>VLOOKUP($D184,Sheet1!$A$5:$C$192,3,TRUE)</f>
        <v>1</v>
      </c>
      <c r="K184" s="42" t="str">
        <f>VLOOKUP($D184,Sheet1!$A$5:$C$192,2,TRUE)</f>
        <v>|(</v>
      </c>
      <c r="L184" s="6">
        <f>FLOOR(VLOOKUP($D184,Sheet1!$D$5:$F$192,3,TRUE),1)</f>
        <v>2</v>
      </c>
      <c r="M184" s="42" t="str">
        <f>VLOOKUP($D184,Sheet1!$D$5:$F$192,2,TRUE)</f>
        <v>|(</v>
      </c>
      <c r="N184" s="23">
        <f>FLOOR(VLOOKUP($D184,Sheet1!$G$5:$I$192,3,TRUE),1)</f>
        <v>3</v>
      </c>
      <c r="O184" s="42" t="str">
        <f>VLOOKUP($D184,Sheet1!$G$5:$I$192,2,TRUE)</f>
        <v>|(</v>
      </c>
      <c r="P184" s="23">
        <v>1</v>
      </c>
      <c r="Q184" s="43" t="str">
        <f>VLOOKUP($D184,Sheet1!$J$5:$L$192,2,TRUE)</f>
        <v>|(.</v>
      </c>
      <c r="R184" s="23">
        <f>FLOOR(VLOOKUP($D184,Sheet1!$M$5:$O$192,3,TRUE),1)</f>
        <v>11</v>
      </c>
      <c r="S184" s="43" t="str">
        <f>VLOOKUP($D184,Sheet1!$M$5:$O$192,2,TRUE)</f>
        <v>|(.</v>
      </c>
      <c r="T184" s="124" t="str">
        <f>IF(ABS(D184-VLOOKUP($D184,Sheet1!$M$5:$T$192,8,TRUE))&lt;10^-10,"SoCA",D184-VLOOKUP($D184,Sheet1!$M$5:$T$192,8,TRUE))</f>
        <v>SoCA</v>
      </c>
      <c r="U184" s="117">
        <f>IF(VLOOKUP($D184,Sheet1!$M$5:$U$192,9,TRUE)=0,"",IF(ABS(D184-VLOOKUP($D184,Sheet1!$M$5:$U$192,9,TRUE))&lt;10^-10,"Alt.",D184-VLOOKUP($D184,Sheet1!$M$5:$U$192,9,TRUE)))</f>
        <v>-2.6960295202230533E-2</v>
      </c>
      <c r="V184" s="134">
        <f>$D184-Sheet1!$M$3*$R184</f>
        <v>-3.2017252847665212E-2</v>
      </c>
      <c r="Z184" s="6"/>
      <c r="AA184" s="61"/>
    </row>
    <row r="185" spans="1:27" ht="13.5">
      <c r="A185" s="87" t="s">
        <v>281</v>
      </c>
      <c r="B185" s="87">
        <f>2^11*11</f>
        <v>22528</v>
      </c>
      <c r="C185" s="87">
        <f>3^6*31</f>
        <v>22599</v>
      </c>
      <c r="D185" s="13">
        <f t="shared" si="5"/>
        <v>5.4476352918180853</v>
      </c>
      <c r="E185" s="61">
        <v>31</v>
      </c>
      <c r="F185" s="65">
        <v>43.199136347430986</v>
      </c>
      <c r="G185" s="6">
        <v>99</v>
      </c>
      <c r="H185" s="6">
        <v>96</v>
      </c>
      <c r="I185" s="65">
        <v>5.6645692482668446</v>
      </c>
      <c r="J185" s="6">
        <f>VLOOKUP($D185,Sheet1!$A$5:$C$192,3,TRUE)</f>
        <v>1</v>
      </c>
      <c r="K185" s="42" t="str">
        <f>VLOOKUP($D185,Sheet1!$A$5:$C$192,2,TRUE)</f>
        <v>|(</v>
      </c>
      <c r="L185" s="6">
        <f>FLOOR(VLOOKUP($D185,Sheet1!$D$5:$F$192,3,TRUE),1)</f>
        <v>2</v>
      </c>
      <c r="M185" s="42" t="str">
        <f>VLOOKUP($D185,Sheet1!$D$5:$F$192,2,TRUE)</f>
        <v>|(</v>
      </c>
      <c r="N185" s="23">
        <f>FLOOR(VLOOKUP($D185,Sheet1!$G$5:$I$192,3,TRUE),1)</f>
        <v>3</v>
      </c>
      <c r="O185" s="42" t="str">
        <f>VLOOKUP($D185,Sheet1!$G$5:$I$192,2,TRUE)</f>
        <v>|(</v>
      </c>
      <c r="P185" s="23">
        <v>1</v>
      </c>
      <c r="Q185" s="45" t="str">
        <f>VLOOKUP($D185,Sheet1!$J$5:$L$192,2,TRUE)</f>
        <v>|(.</v>
      </c>
      <c r="R185" s="38">
        <f>FLOOR(VLOOKUP($D185,Sheet1!$M$5:$O$192,3,TRUE),1)</f>
        <v>11</v>
      </c>
      <c r="S185" s="45" t="str">
        <f>VLOOKUP($D185,Sheet1!$M$5:$O$192,2,TRUE)</f>
        <v>|(.</v>
      </c>
      <c r="T185" s="108">
        <f>IF(ABS(D185-VLOOKUP($D185,Sheet1!$M$5:$T$192,8,TRUE))&lt;10^-10,"SoCA",D185-VLOOKUP($D185,Sheet1!$M$5:$T$192,8,TRUE))</f>
        <v>0.11254925438770869</v>
      </c>
      <c r="U185" s="108">
        <f>IF(VLOOKUP($D185,Sheet1!$M$5:$U$192,9,TRUE)=0,"",IF(ABS(D185-VLOOKUP($D185,Sheet1!$M$5:$U$192,9,TRUE))&lt;10^-10,"Alt.",D185-VLOOKUP($D185,Sheet1!$M$5:$U$192,9,TRUE)))</f>
        <v>8.558895918527476E-2</v>
      </c>
      <c r="V185" s="133">
        <f>$D185-Sheet1!$M$3*$R185</f>
        <v>8.0532001539840081E-2</v>
      </c>
      <c r="Z185" s="6"/>
      <c r="AA185" s="61"/>
    </row>
    <row r="186" spans="1:27" ht="13.5">
      <c r="A186" s="23" t="s">
        <v>27</v>
      </c>
      <c r="B186" s="23">
        <f>3^3*5*11^2</f>
        <v>16335</v>
      </c>
      <c r="C186" s="23">
        <f>2^14</f>
        <v>16384</v>
      </c>
      <c r="D186" s="13">
        <f t="shared" si="5"/>
        <v>5.1853988094895715</v>
      </c>
      <c r="E186" s="61">
        <v>11</v>
      </c>
      <c r="F186" s="65">
        <v>43.367246401327776</v>
      </c>
      <c r="G186" s="6">
        <v>170</v>
      </c>
      <c r="H186" s="6">
        <v>156</v>
      </c>
      <c r="I186" s="65">
        <v>-3.3192838961366684</v>
      </c>
      <c r="J186" s="6">
        <f>VLOOKUP($D186,Sheet1!$A$5:$C$192,3,TRUE)</f>
        <v>1</v>
      </c>
      <c r="K186" s="42" t="str">
        <f>VLOOKUP($D186,Sheet1!$A$5:$C$192,2,TRUE)</f>
        <v>|(</v>
      </c>
      <c r="L186" s="6">
        <f>FLOOR(VLOOKUP($D186,Sheet1!$D$5:$F$192,3,TRUE),1)</f>
        <v>2</v>
      </c>
      <c r="M186" s="42" t="str">
        <f>VLOOKUP($D186,Sheet1!$D$5:$F$192,2,TRUE)</f>
        <v>|(</v>
      </c>
      <c r="N186" s="23">
        <f>FLOOR(VLOOKUP($D186,Sheet1!$G$5:$I$192,3,TRUE),1)</f>
        <v>3</v>
      </c>
      <c r="O186" s="42" t="str">
        <f>VLOOKUP($D186,Sheet1!$G$5:$I$192,2,TRUE)</f>
        <v>|(</v>
      </c>
      <c r="P186" s="23">
        <v>1</v>
      </c>
      <c r="Q186" s="43" t="str">
        <f>VLOOKUP($D186,Sheet1!$J$5:$L$192,2,TRUE)</f>
        <v>|(.</v>
      </c>
      <c r="R186" s="23">
        <f>FLOOR(VLOOKUP($D186,Sheet1!$M$5:$O$192,3,TRUE),1)</f>
        <v>11</v>
      </c>
      <c r="S186" s="43" t="str">
        <f>VLOOKUP($D186,Sheet1!$M$5:$O$192,2,TRUE)</f>
        <v>|(.</v>
      </c>
      <c r="T186" s="117">
        <f>IF(ABS(D186-VLOOKUP($D186,Sheet1!$M$5:$T$192,8,TRUE))&lt;10^-10,"SoCA",D186-VLOOKUP($D186,Sheet1!$M$5:$T$192,8,TRUE))</f>
        <v>-0.14968722794080502</v>
      </c>
      <c r="U186" s="117">
        <f>IF(VLOOKUP($D186,Sheet1!$M$5:$U$192,9,TRUE)=0,"",IF(ABS(D186-VLOOKUP($D186,Sheet1!$M$5:$U$192,9,TRUE))&lt;10^-10,"Alt.",D186-VLOOKUP($D186,Sheet1!$M$5:$U$192,9,TRUE)))</f>
        <v>-0.17664752314323895</v>
      </c>
      <c r="V186" s="132">
        <f>$D186-Sheet1!$M$3*$R186</f>
        <v>-0.18170448078867363</v>
      </c>
      <c r="Z186" s="6"/>
      <c r="AA186" s="61"/>
    </row>
    <row r="187" spans="1:27" ht="13.5">
      <c r="A187" t="s">
        <v>1100</v>
      </c>
      <c r="B187">
        <v>323</v>
      </c>
      <c r="C187">
        <v>324</v>
      </c>
      <c r="D187" s="13">
        <f t="shared" si="5"/>
        <v>5.3515778288398499</v>
      </c>
      <c r="E187" s="61">
        <v>19</v>
      </c>
      <c r="F187" s="65">
        <v>50.688693551271633</v>
      </c>
      <c r="G187" s="6">
        <v>1012</v>
      </c>
      <c r="H187" s="6">
        <v>949</v>
      </c>
      <c r="I187" s="65">
        <v>3.6704838562188056</v>
      </c>
      <c r="J187" s="6">
        <f>VLOOKUP($D187,Sheet1!$A$5:$C$192,3,TRUE)</f>
        <v>1</v>
      </c>
      <c r="K187" s="42" t="str">
        <f>VLOOKUP($D187,Sheet1!$A$5:$C$192,2,TRUE)</f>
        <v>|(</v>
      </c>
      <c r="L187" s="6">
        <f>FLOOR(VLOOKUP($D187,Sheet1!$D$5:$F$192,3,TRUE),1)</f>
        <v>2</v>
      </c>
      <c r="M187" s="42" t="str">
        <f>VLOOKUP($D187,Sheet1!$D$5:$F$192,2,TRUE)</f>
        <v>|(</v>
      </c>
      <c r="N187" s="23">
        <f>FLOOR(VLOOKUP($D187,Sheet1!$G$5:$I$192,3,TRUE),1)</f>
        <v>3</v>
      </c>
      <c r="O187" s="42" t="str">
        <f>VLOOKUP($D187,Sheet1!$G$5:$I$192,2,TRUE)</f>
        <v>|(</v>
      </c>
      <c r="P187" s="23">
        <v>1</v>
      </c>
      <c r="Q187" s="43" t="str">
        <f>VLOOKUP($D187,Sheet1!$J$5:$L$192,2,TRUE)</f>
        <v>|(.</v>
      </c>
      <c r="R187" s="23">
        <f>FLOOR(VLOOKUP($D187,Sheet1!$M$5:$O$192,3,TRUE),1)</f>
        <v>11</v>
      </c>
      <c r="S187" s="42" t="str">
        <f>VLOOKUP($D187,Sheet1!$M$5:$O$192,2,TRUE)</f>
        <v>|(.</v>
      </c>
      <c r="T187" s="117">
        <f>IF(ABS(D187-VLOOKUP($D187,Sheet1!$M$5:$T$192,8,TRUE))&lt;10^-10,"SoCA",D187-VLOOKUP($D187,Sheet1!$M$5:$T$192,8,TRUE))</f>
        <v>1.6491791409473322E-2</v>
      </c>
      <c r="U187" s="109">
        <f>IF(VLOOKUP($D187,Sheet1!$M$5:$U$192,9,TRUE)=0,"",IF(ABS(D187-VLOOKUP($D187,Sheet1!$M$5:$U$192,9,TRUE))&lt;10^-10,"Alt.",D187-VLOOKUP($D187,Sheet1!$M$5:$U$192,9,TRUE)))</f>
        <v>-1.0468503792960604E-2</v>
      </c>
      <c r="V187" s="132">
        <f>$D187-Sheet1!$M$3*$R187</f>
        <v>-1.5525461438395283E-2</v>
      </c>
      <c r="Z187" s="6"/>
      <c r="AA187" s="61"/>
    </row>
    <row r="188" spans="1:27" ht="13.5">
      <c r="A188" s="6" t="s">
        <v>365</v>
      </c>
      <c r="B188" s="6">
        <f>5^3*7^2</f>
        <v>6125</v>
      </c>
      <c r="C188" s="6">
        <f>2^11*3</f>
        <v>6144</v>
      </c>
      <c r="D188" s="13">
        <f t="shared" si="5"/>
        <v>5.3620463326330183</v>
      </c>
      <c r="E188" s="61">
        <v>7</v>
      </c>
      <c r="F188" s="65">
        <v>58.03406014579982</v>
      </c>
      <c r="G188" s="6">
        <v>223</v>
      </c>
      <c r="H188" s="6">
        <v>200</v>
      </c>
      <c r="I188" s="65">
        <v>0.66983927230142459</v>
      </c>
      <c r="J188" s="6">
        <f>VLOOKUP($D188,Sheet1!$A$5:$C$192,3,TRUE)</f>
        <v>1</v>
      </c>
      <c r="K188" s="42" t="str">
        <f>VLOOKUP($D188,Sheet1!$A$5:$C$192,2,TRUE)</f>
        <v>|(</v>
      </c>
      <c r="L188" s="6">
        <f>FLOOR(VLOOKUP($D188,Sheet1!$D$5:$F$192,3,TRUE),1)</f>
        <v>2</v>
      </c>
      <c r="M188" s="42" t="str">
        <f>VLOOKUP($D188,Sheet1!$D$5:$F$192,2,TRUE)</f>
        <v>|(</v>
      </c>
      <c r="N188" s="23">
        <f>FLOOR(VLOOKUP($D188,Sheet1!$G$5:$I$192,3,TRUE),1)</f>
        <v>3</v>
      </c>
      <c r="O188" s="42" t="str">
        <f>VLOOKUP($D188,Sheet1!$G$5:$I$192,2,TRUE)</f>
        <v>|(</v>
      </c>
      <c r="P188" s="23">
        <v>1</v>
      </c>
      <c r="Q188" s="43" t="str">
        <f>VLOOKUP($D188,Sheet1!$J$5:$L$192,2,TRUE)</f>
        <v>|(.</v>
      </c>
      <c r="R188" s="23">
        <f>FLOOR(VLOOKUP($D188,Sheet1!$M$5:$O$192,3,TRUE),1)</f>
        <v>11</v>
      </c>
      <c r="S188" s="42" t="str">
        <f>VLOOKUP($D188,Sheet1!$M$5:$O$192,2,TRUE)</f>
        <v>|(.</v>
      </c>
      <c r="T188" s="117">
        <f>IF(ABS(D188-VLOOKUP($D188,Sheet1!$M$5:$T$192,8,TRUE))&lt;10^-10,"SoCA",D188-VLOOKUP($D188,Sheet1!$M$5:$T$192,8,TRUE))</f>
        <v>2.696029520264176E-2</v>
      </c>
      <c r="U188" s="125" t="str">
        <f>IF(VLOOKUP($D188,Sheet1!$M$5:$U$192,9,TRUE)=0,"",IF(ABS(D188-VLOOKUP($D188,Sheet1!$M$5:$U$192,9,TRUE))&lt;10^-10,"Alt.",D188-VLOOKUP($D188,Sheet1!$M$5:$U$192,9,TRUE)))</f>
        <v>Alt.</v>
      </c>
      <c r="V188" s="132">
        <f>$D188-Sheet1!$M$3*$R188</f>
        <v>-5.056957645226845E-3</v>
      </c>
      <c r="Z188" s="6"/>
      <c r="AA188" s="61"/>
    </row>
    <row r="189" spans="1:27" ht="13.5">
      <c r="A189" s="6" t="s">
        <v>1805</v>
      </c>
      <c r="B189" s="58">
        <f>2^24</f>
        <v>16777216</v>
      </c>
      <c r="C189" s="58">
        <f>3^11*5*19</f>
        <v>16828965</v>
      </c>
      <c r="D189" s="13">
        <f t="shared" si="5"/>
        <v>5.3317395163990051</v>
      </c>
      <c r="E189" s="61">
        <v>19</v>
      </c>
      <c r="F189" s="65">
        <v>66.710115922805343</v>
      </c>
      <c r="G189" s="59">
        <v>375</v>
      </c>
      <c r="H189" s="63">
        <v>1000010</v>
      </c>
      <c r="I189" s="65">
        <v>10.671705373390695</v>
      </c>
      <c r="J189" s="6">
        <f>VLOOKUP($D189,Sheet1!$A$5:$C$192,3,TRUE)</f>
        <v>1</v>
      </c>
      <c r="K189" s="42" t="str">
        <f>VLOOKUP($D189,Sheet1!$A$5:$C$192,2,TRUE)</f>
        <v>|(</v>
      </c>
      <c r="L189" s="6">
        <f>FLOOR(VLOOKUP($D189,Sheet1!$D$5:$F$192,3,TRUE),1)</f>
        <v>2</v>
      </c>
      <c r="M189" s="42" t="str">
        <f>VLOOKUP($D189,Sheet1!$D$5:$F$192,2,TRUE)</f>
        <v>|(</v>
      </c>
      <c r="N189" s="23">
        <f>FLOOR(VLOOKUP($D189,Sheet1!$G$5:$I$192,3,TRUE),1)</f>
        <v>3</v>
      </c>
      <c r="O189" s="42" t="str">
        <f>VLOOKUP($D189,Sheet1!$G$5:$I$192,2,TRUE)</f>
        <v>|(</v>
      </c>
      <c r="P189" s="23">
        <v>1</v>
      </c>
      <c r="Q189" s="43" t="str">
        <f>VLOOKUP($D189,Sheet1!$J$5:$L$192,2,TRUE)</f>
        <v>|(.</v>
      </c>
      <c r="R189" s="23">
        <f>FLOOR(VLOOKUP($D189,Sheet1!$M$5:$O$192,3,TRUE),1)</f>
        <v>11</v>
      </c>
      <c r="S189" s="42" t="str">
        <f>VLOOKUP($D189,Sheet1!$M$5:$O$192,2,TRUE)</f>
        <v>|(.</v>
      </c>
      <c r="T189" s="117">
        <f>IF(ABS(D189-VLOOKUP($D189,Sheet1!$M$5:$T$192,8,TRUE))&lt;10^-10,"SoCA",D189-VLOOKUP($D189,Sheet1!$M$5:$T$192,8,TRUE))</f>
        <v>-3.3465210313714522E-3</v>
      </c>
      <c r="U189" s="109">
        <f>IF(VLOOKUP($D189,Sheet1!$M$5:$U$192,9,TRUE)=0,"",IF(ABS(D189-VLOOKUP($D189,Sheet1!$M$5:$U$192,9,TRUE))&lt;10^-10,"Alt.",D189-VLOOKUP($D189,Sheet1!$M$5:$U$192,9,TRUE)))</f>
        <v>-3.0306816233805378E-2</v>
      </c>
      <c r="V189" s="132">
        <f>$D189-Sheet1!$M$3*$R189</f>
        <v>-3.5363773879240057E-2</v>
      </c>
      <c r="Z189" s="6"/>
      <c r="AA189" s="61"/>
    </row>
    <row r="190" spans="1:27" ht="13.5">
      <c r="A190" t="s">
        <v>693</v>
      </c>
      <c r="B190">
        <v>5248</v>
      </c>
      <c r="C190">
        <v>5265</v>
      </c>
      <c r="D190" s="13">
        <f t="shared" si="5"/>
        <v>5.5989735539945462</v>
      </c>
      <c r="E190" s="61">
        <v>41</v>
      </c>
      <c r="F190" s="65">
        <v>71.124737036466129</v>
      </c>
      <c r="G190" s="6">
        <v>579</v>
      </c>
      <c r="H190" s="6">
        <v>538</v>
      </c>
      <c r="I190" s="65">
        <v>3.6552508001093331</v>
      </c>
      <c r="J190" s="6">
        <f>VLOOKUP($D190,Sheet1!$A$5:$C$192,3,TRUE)</f>
        <v>1</v>
      </c>
      <c r="K190" s="42" t="str">
        <f>VLOOKUP($D190,Sheet1!$A$5:$C$192,2,TRUE)</f>
        <v>|(</v>
      </c>
      <c r="L190" s="6">
        <f>FLOOR(VLOOKUP($D190,Sheet1!$D$5:$F$192,3,TRUE),1)</f>
        <v>2</v>
      </c>
      <c r="M190" s="42" t="str">
        <f>VLOOKUP($D190,Sheet1!$D$5:$F$192,2,TRUE)</f>
        <v>|(</v>
      </c>
      <c r="N190" s="23">
        <f>FLOOR(VLOOKUP($D190,Sheet1!$G$5:$I$192,3,TRUE),1)</f>
        <v>3</v>
      </c>
      <c r="O190" s="42" t="str">
        <f>VLOOKUP($D190,Sheet1!$G$5:$I$192,2,TRUE)</f>
        <v>|(</v>
      </c>
      <c r="P190" s="23">
        <v>1</v>
      </c>
      <c r="Q190" s="43" t="str">
        <f>VLOOKUP($D190,Sheet1!$J$5:$L$192,2,TRUE)</f>
        <v>|(.</v>
      </c>
      <c r="R190" s="23">
        <f>FLOOR(VLOOKUP($D190,Sheet1!$M$5:$O$192,3,TRUE),1)</f>
        <v>11</v>
      </c>
      <c r="S190" s="42" t="str">
        <f>VLOOKUP($D190,Sheet1!$M$5:$O$192,2,TRUE)</f>
        <v>|(.</v>
      </c>
      <c r="T190" s="117">
        <f>IF(ABS(D190-VLOOKUP($D190,Sheet1!$M$5:$T$192,8,TRUE))&lt;10^-10,"SoCA",D190-VLOOKUP($D190,Sheet1!$M$5:$T$192,8,TRUE))</f>
        <v>0.26388751656416964</v>
      </c>
      <c r="U190" s="109">
        <f>IF(VLOOKUP($D190,Sheet1!$M$5:$U$192,9,TRUE)=0,"",IF(ABS(D190-VLOOKUP($D190,Sheet1!$M$5:$U$192,9,TRUE))&lt;10^-10,"Alt.",D190-VLOOKUP($D190,Sheet1!$M$5:$U$192,9,TRUE)))</f>
        <v>0.23692722136173572</v>
      </c>
      <c r="V190" s="132">
        <f>$D190-Sheet1!$M$3*$R190</f>
        <v>0.23187026371630104</v>
      </c>
      <c r="Z190" s="6"/>
      <c r="AA190" s="61"/>
    </row>
    <row r="191" spans="1:27" ht="13.5">
      <c r="A191" t="s">
        <v>1601</v>
      </c>
      <c r="B191">
        <v>767637</v>
      </c>
      <c r="C191">
        <v>770048</v>
      </c>
      <c r="D191" s="13">
        <f t="shared" si="5"/>
        <v>5.4289515899801142</v>
      </c>
      <c r="E191" s="61">
        <v>47</v>
      </c>
      <c r="F191" s="65">
        <v>86.390391004277291</v>
      </c>
      <c r="G191" s="6">
        <v>622</v>
      </c>
      <c r="H191" s="6">
        <v>1450</v>
      </c>
      <c r="I191" s="65">
        <v>-10.33428032814256</v>
      </c>
      <c r="J191" s="6">
        <f>VLOOKUP($D191,Sheet1!$A$5:$C$192,3,TRUE)</f>
        <v>1</v>
      </c>
      <c r="K191" s="42" t="str">
        <f>VLOOKUP($D191,Sheet1!$A$5:$C$192,2,TRUE)</f>
        <v>|(</v>
      </c>
      <c r="L191" s="6">
        <f>FLOOR(VLOOKUP($D191,Sheet1!$D$5:$F$192,3,TRUE),1)</f>
        <v>2</v>
      </c>
      <c r="M191" s="42" t="str">
        <f>VLOOKUP($D191,Sheet1!$D$5:$F$192,2,TRUE)</f>
        <v>|(</v>
      </c>
      <c r="N191" s="23">
        <f>FLOOR(VLOOKUP($D191,Sheet1!$G$5:$I$192,3,TRUE),1)</f>
        <v>3</v>
      </c>
      <c r="O191" s="42" t="str">
        <f>VLOOKUP($D191,Sheet1!$G$5:$I$192,2,TRUE)</f>
        <v>|(</v>
      </c>
      <c r="P191" s="23">
        <v>1</v>
      </c>
      <c r="Q191" s="43" t="str">
        <f>VLOOKUP($D191,Sheet1!$J$5:$L$192,2,TRUE)</f>
        <v>|(.</v>
      </c>
      <c r="R191" s="23">
        <f>FLOOR(VLOOKUP($D191,Sheet1!$M$5:$O$192,3,TRUE),1)</f>
        <v>11</v>
      </c>
      <c r="S191" s="42" t="str">
        <f>VLOOKUP($D191,Sheet1!$M$5:$O$192,2,TRUE)</f>
        <v>|(.</v>
      </c>
      <c r="T191" s="117">
        <f>IF(ABS(D191-VLOOKUP($D191,Sheet1!$M$5:$T$192,8,TRUE))&lt;10^-10,"SoCA",D191-VLOOKUP($D191,Sheet1!$M$5:$T$192,8,TRUE))</f>
        <v>9.3865552549737608E-2</v>
      </c>
      <c r="U191" s="109">
        <f>IF(VLOOKUP($D191,Sheet1!$M$5:$U$192,9,TRUE)=0,"",IF(ABS(D191-VLOOKUP($D191,Sheet1!$M$5:$U$192,9,TRUE))&lt;10^-10,"Alt.",D191-VLOOKUP($D191,Sheet1!$M$5:$U$192,9,TRUE)))</f>
        <v>6.6905257347303682E-2</v>
      </c>
      <c r="V191" s="132">
        <f>$D191-Sheet1!$M$3*$R191</f>
        <v>6.1848299701869003E-2</v>
      </c>
      <c r="Z191" s="6"/>
      <c r="AA191" s="61"/>
    </row>
    <row r="192" spans="1:27" ht="13.5">
      <c r="A192" t="s">
        <v>1548</v>
      </c>
      <c r="B192">
        <v>400221</v>
      </c>
      <c r="C192">
        <v>401408</v>
      </c>
      <c r="D192" s="13">
        <f t="shared" si="5"/>
        <v>5.1270009396869725</v>
      </c>
      <c r="E192" s="61" t="s">
        <v>1931</v>
      </c>
      <c r="F192" s="65">
        <v>96.894381655351992</v>
      </c>
      <c r="G192" s="6">
        <v>1452</v>
      </c>
      <c r="H192" s="6">
        <v>1397</v>
      </c>
      <c r="I192" s="65">
        <v>-8.3156881265378999</v>
      </c>
      <c r="J192" s="6">
        <f>VLOOKUP($D192,Sheet1!$A$5:$C$192,3,TRUE)</f>
        <v>1</v>
      </c>
      <c r="K192" s="42" t="str">
        <f>VLOOKUP($D192,Sheet1!$A$5:$C$192,2,TRUE)</f>
        <v>|(</v>
      </c>
      <c r="L192" s="6">
        <f>FLOOR(VLOOKUP($D192,Sheet1!$D$5:$F$192,3,TRUE),1)</f>
        <v>2</v>
      </c>
      <c r="M192" s="42" t="str">
        <f>VLOOKUP($D192,Sheet1!$D$5:$F$192,2,TRUE)</f>
        <v>|(</v>
      </c>
      <c r="N192" s="23">
        <f>FLOOR(VLOOKUP($D192,Sheet1!$G$5:$I$192,3,TRUE),1)</f>
        <v>3</v>
      </c>
      <c r="O192" s="42" t="str">
        <f>VLOOKUP($D192,Sheet1!$G$5:$I$192,2,TRUE)</f>
        <v>|(</v>
      </c>
      <c r="P192" s="23">
        <v>1</v>
      </c>
      <c r="Q192" s="43" t="str">
        <f>VLOOKUP($D192,Sheet1!$J$5:$L$192,2,TRUE)</f>
        <v>|(.</v>
      </c>
      <c r="R192" s="23">
        <f>FLOOR(VLOOKUP($D192,Sheet1!$M$5:$O$192,3,TRUE),1)</f>
        <v>11</v>
      </c>
      <c r="S192" s="42" t="str">
        <f>VLOOKUP($D192,Sheet1!$M$5:$O$192,2,TRUE)</f>
        <v>|(.</v>
      </c>
      <c r="T192" s="117">
        <f>IF(ABS(D192-VLOOKUP($D192,Sheet1!$M$5:$T$192,8,TRUE))&lt;10^-10,"SoCA",D192-VLOOKUP($D192,Sheet1!$M$5:$T$192,8,TRUE))</f>
        <v>-0.20808509774340411</v>
      </c>
      <c r="U192" s="109">
        <f>IF(VLOOKUP($D192,Sheet1!$M$5:$U$192,9,TRUE)=0,"",IF(ABS(D192-VLOOKUP($D192,Sheet1!$M$5:$U$192,9,TRUE))&lt;10^-10,"Alt.",D192-VLOOKUP($D192,Sheet1!$M$5:$U$192,9,TRUE)))</f>
        <v>-0.23504539294583804</v>
      </c>
      <c r="V192" s="132">
        <f>$D192-Sheet1!$M$3*$R192</f>
        <v>-0.24010235059127272</v>
      </c>
      <c r="Z192" s="6"/>
      <c r="AA192" s="61"/>
    </row>
    <row r="193" spans="1:27" ht="13.5">
      <c r="A193" t="s">
        <v>428</v>
      </c>
      <c r="B193">
        <v>320</v>
      </c>
      <c r="C193">
        <v>321</v>
      </c>
      <c r="D193" s="13">
        <f t="shared" si="5"/>
        <v>5.4016706819290139</v>
      </c>
      <c r="E193" s="61" t="s">
        <v>1931</v>
      </c>
      <c r="F193" s="65">
        <v>112.04694101579547</v>
      </c>
      <c r="G193" s="6">
        <v>297</v>
      </c>
      <c r="H193" s="6">
        <v>266</v>
      </c>
      <c r="I193" s="65">
        <v>0.66739945675590606</v>
      </c>
      <c r="J193" s="6">
        <f>VLOOKUP($D193,Sheet1!$A$5:$C$192,3,TRUE)</f>
        <v>1</v>
      </c>
      <c r="K193" s="42" t="str">
        <f>VLOOKUP($D193,Sheet1!$A$5:$C$192,2,TRUE)</f>
        <v>|(</v>
      </c>
      <c r="L193" s="6">
        <f>FLOOR(VLOOKUP($D193,Sheet1!$D$5:$F$192,3,TRUE),1)</f>
        <v>2</v>
      </c>
      <c r="M193" s="42" t="str">
        <f>VLOOKUP($D193,Sheet1!$D$5:$F$192,2,TRUE)</f>
        <v>|(</v>
      </c>
      <c r="N193" s="23">
        <f>FLOOR(VLOOKUP($D193,Sheet1!$G$5:$I$192,3,TRUE),1)</f>
        <v>3</v>
      </c>
      <c r="O193" s="42" t="str">
        <f>VLOOKUP($D193,Sheet1!$G$5:$I$192,2,TRUE)</f>
        <v>|(</v>
      </c>
      <c r="P193" s="23">
        <v>1</v>
      </c>
      <c r="Q193" s="43" t="str">
        <f>VLOOKUP($D193,Sheet1!$J$5:$L$192,2,TRUE)</f>
        <v>|(.</v>
      </c>
      <c r="R193" s="23">
        <f>FLOOR(VLOOKUP($D193,Sheet1!$M$5:$O$192,3,TRUE),1)</f>
        <v>11</v>
      </c>
      <c r="S193" s="42" t="str">
        <f>VLOOKUP($D193,Sheet1!$M$5:$O$192,2,TRUE)</f>
        <v>|(.</v>
      </c>
      <c r="T193" s="117">
        <f>IF(ABS(D193-VLOOKUP($D193,Sheet1!$M$5:$T$192,8,TRUE))&lt;10^-10,"SoCA",D193-VLOOKUP($D193,Sheet1!$M$5:$T$192,8,TRUE))</f>
        <v>6.6584644498637324E-2</v>
      </c>
      <c r="U193" s="109">
        <f>IF(VLOOKUP($D193,Sheet1!$M$5:$U$192,9,TRUE)=0,"",IF(ABS(D193-VLOOKUP($D193,Sheet1!$M$5:$U$192,9,TRUE))&lt;10^-10,"Alt.",D193-VLOOKUP($D193,Sheet1!$M$5:$U$192,9,TRUE)))</f>
        <v>3.9624349296203398E-2</v>
      </c>
      <c r="V193" s="132">
        <f>$D193-Sheet1!$M$3*$R193</f>
        <v>3.456739165076872E-2</v>
      </c>
      <c r="Z193" s="6"/>
      <c r="AA193" s="61"/>
    </row>
    <row r="194" spans="1:27" ht="13.5">
      <c r="A194" t="s">
        <v>610</v>
      </c>
      <c r="B194">
        <v>332</v>
      </c>
      <c r="C194">
        <v>333</v>
      </c>
      <c r="D194" s="13">
        <f t="shared" si="5"/>
        <v>5.2067228692049312</v>
      </c>
      <c r="E194" s="61" t="s">
        <v>1931</v>
      </c>
      <c r="F194" s="65">
        <v>120.09557858192514</v>
      </c>
      <c r="G194" s="6">
        <v>502</v>
      </c>
      <c r="H194" s="6">
        <v>455</v>
      </c>
      <c r="I194" s="65">
        <v>1.6794031038188777</v>
      </c>
      <c r="J194" s="6">
        <f>VLOOKUP($D194,Sheet1!$A$5:$C$192,3,TRUE)</f>
        <v>1</v>
      </c>
      <c r="K194" s="42" t="str">
        <f>VLOOKUP($D194,Sheet1!$A$5:$C$192,2,TRUE)</f>
        <v>|(</v>
      </c>
      <c r="L194" s="6">
        <f>FLOOR(VLOOKUP($D194,Sheet1!$D$5:$F$192,3,TRUE),1)</f>
        <v>2</v>
      </c>
      <c r="M194" s="42" t="str">
        <f>VLOOKUP($D194,Sheet1!$D$5:$F$192,2,TRUE)</f>
        <v>|(</v>
      </c>
      <c r="N194" s="23">
        <f>FLOOR(VLOOKUP($D194,Sheet1!$G$5:$I$192,3,TRUE),1)</f>
        <v>3</v>
      </c>
      <c r="O194" s="42" t="str">
        <f>VLOOKUP($D194,Sheet1!$G$5:$I$192,2,TRUE)</f>
        <v>|(</v>
      </c>
      <c r="P194" s="23">
        <v>1</v>
      </c>
      <c r="Q194" s="43" t="str">
        <f>VLOOKUP($D194,Sheet1!$J$5:$L$192,2,TRUE)</f>
        <v>|(.</v>
      </c>
      <c r="R194" s="23">
        <f>FLOOR(VLOOKUP($D194,Sheet1!$M$5:$O$192,3,TRUE),1)</f>
        <v>11</v>
      </c>
      <c r="S194" s="42" t="str">
        <f>VLOOKUP($D194,Sheet1!$M$5:$O$192,2,TRUE)</f>
        <v>|(.</v>
      </c>
      <c r="T194" s="117">
        <f>IF(ABS(D194-VLOOKUP($D194,Sheet1!$M$5:$T$192,8,TRUE))&lt;10^-10,"SoCA",D194-VLOOKUP($D194,Sheet1!$M$5:$T$192,8,TRUE))</f>
        <v>-0.12836316822544536</v>
      </c>
      <c r="U194" s="109">
        <f>IF(VLOOKUP($D194,Sheet1!$M$5:$U$192,9,TRUE)=0,"",IF(ABS(D194-VLOOKUP($D194,Sheet1!$M$5:$U$192,9,TRUE))&lt;10^-10,"Alt.",D194-VLOOKUP($D194,Sheet1!$M$5:$U$192,9,TRUE)))</f>
        <v>-0.15532346342787928</v>
      </c>
      <c r="V194" s="132">
        <f>$D194-Sheet1!$M$3*$R194</f>
        <v>-0.16038042107331396</v>
      </c>
      <c r="Z194" s="6"/>
      <c r="AA194" s="61"/>
    </row>
    <row r="195" spans="1:27" ht="13.5">
      <c r="A195" t="s">
        <v>1158</v>
      </c>
      <c r="B195">
        <v>9315</v>
      </c>
      <c r="C195">
        <v>9344</v>
      </c>
      <c r="D195" s="13">
        <f t="shared" ref="D195:D259" si="6">1200*LN($C195/$B195)/LN(2)</f>
        <v>5.3814060612209174</v>
      </c>
      <c r="E195" s="61" t="s">
        <v>1931</v>
      </c>
      <c r="F195" s="65">
        <v>121.66254111475513</v>
      </c>
      <c r="G195" s="6">
        <v>1060</v>
      </c>
      <c r="H195" s="6">
        <v>1007</v>
      </c>
      <c r="I195" s="65">
        <v>-4.331352776719064</v>
      </c>
      <c r="J195" s="6">
        <f>VLOOKUP($D195,Sheet1!$A$5:$C$192,3,TRUE)</f>
        <v>1</v>
      </c>
      <c r="K195" s="42" t="str">
        <f>VLOOKUP($D195,Sheet1!$A$5:$C$192,2,TRUE)</f>
        <v>|(</v>
      </c>
      <c r="L195" s="6">
        <f>FLOOR(VLOOKUP($D195,Sheet1!$D$5:$F$192,3,TRUE),1)</f>
        <v>2</v>
      </c>
      <c r="M195" s="42" t="str">
        <f>VLOOKUP($D195,Sheet1!$D$5:$F$192,2,TRUE)</f>
        <v>|(</v>
      </c>
      <c r="N195" s="23">
        <f>FLOOR(VLOOKUP($D195,Sheet1!$G$5:$I$192,3,TRUE),1)</f>
        <v>3</v>
      </c>
      <c r="O195" s="42" t="str">
        <f>VLOOKUP($D195,Sheet1!$G$5:$I$192,2,TRUE)</f>
        <v>|(</v>
      </c>
      <c r="P195" s="23">
        <v>1</v>
      </c>
      <c r="Q195" s="43" t="str">
        <f>VLOOKUP($D195,Sheet1!$J$5:$L$192,2,TRUE)</f>
        <v>|(.</v>
      </c>
      <c r="R195" s="23">
        <f>FLOOR(VLOOKUP($D195,Sheet1!$M$5:$O$192,3,TRUE),1)</f>
        <v>11</v>
      </c>
      <c r="S195" s="42" t="str">
        <f>VLOOKUP($D195,Sheet1!$M$5:$O$192,2,TRUE)</f>
        <v>|(.</v>
      </c>
      <c r="T195" s="117">
        <f>IF(ABS(D195-VLOOKUP($D195,Sheet1!$M$5:$T$192,8,TRUE))&lt;10^-10,"SoCA",D195-VLOOKUP($D195,Sheet1!$M$5:$T$192,8,TRUE))</f>
        <v>4.6320023790540787E-2</v>
      </c>
      <c r="U195" s="109">
        <f>IF(VLOOKUP($D195,Sheet1!$M$5:$U$192,9,TRUE)=0,"",IF(ABS(D195-VLOOKUP($D195,Sheet1!$M$5:$U$192,9,TRUE))&lt;10^-10,"Alt.",D195-VLOOKUP($D195,Sheet1!$M$5:$U$192,9,TRUE)))</f>
        <v>1.9359728588106861E-2</v>
      </c>
      <c r="V195" s="132">
        <f>$D195-Sheet1!$M$3*$R195</f>
        <v>1.4302770942672183E-2</v>
      </c>
      <c r="Z195" s="6"/>
      <c r="AA195" s="61"/>
    </row>
    <row r="196" spans="1:27" ht="13.5">
      <c r="A196" t="s">
        <v>1696</v>
      </c>
      <c r="B196">
        <v>3473408</v>
      </c>
      <c r="C196">
        <v>3483891</v>
      </c>
      <c r="D196" s="13">
        <f t="shared" si="6"/>
        <v>5.2171224122448541</v>
      </c>
      <c r="E196" s="61" t="s">
        <v>1931</v>
      </c>
      <c r="F196" s="65">
        <v>136.11791904930362</v>
      </c>
      <c r="G196" s="6">
        <v>1594</v>
      </c>
      <c r="H196" s="6">
        <v>1545</v>
      </c>
      <c r="I196" s="65">
        <v>9.6787627660663116</v>
      </c>
      <c r="J196" s="6">
        <f>VLOOKUP($D196,Sheet1!$A$5:$C$192,3,TRUE)</f>
        <v>1</v>
      </c>
      <c r="K196" s="42" t="str">
        <f>VLOOKUP($D196,Sheet1!$A$5:$C$192,2,TRUE)</f>
        <v>|(</v>
      </c>
      <c r="L196" s="6">
        <f>FLOOR(VLOOKUP($D196,Sheet1!$D$5:$F$192,3,TRUE),1)</f>
        <v>2</v>
      </c>
      <c r="M196" s="42" t="str">
        <f>VLOOKUP($D196,Sheet1!$D$5:$F$192,2,TRUE)</f>
        <v>|(</v>
      </c>
      <c r="N196" s="23">
        <f>FLOOR(VLOOKUP($D196,Sheet1!$G$5:$I$192,3,TRUE),1)</f>
        <v>3</v>
      </c>
      <c r="O196" s="42" t="str">
        <f>VLOOKUP($D196,Sheet1!$G$5:$I$192,2,TRUE)</f>
        <v>|(</v>
      </c>
      <c r="P196" s="23">
        <v>1</v>
      </c>
      <c r="Q196" s="43" t="str">
        <f>VLOOKUP($D196,Sheet1!$J$5:$L$192,2,TRUE)</f>
        <v>|(.</v>
      </c>
      <c r="R196" s="23">
        <f>FLOOR(VLOOKUP($D196,Sheet1!$M$5:$O$192,3,TRUE),1)</f>
        <v>11</v>
      </c>
      <c r="S196" s="42" t="str">
        <f>VLOOKUP($D196,Sheet1!$M$5:$O$192,2,TRUE)</f>
        <v>|(.</v>
      </c>
      <c r="T196" s="117">
        <f>IF(ABS(D196-VLOOKUP($D196,Sheet1!$M$5:$T$192,8,TRUE))&lt;10^-10,"SoCA",D196-VLOOKUP($D196,Sheet1!$M$5:$T$192,8,TRUE))</f>
        <v>-0.1179636251855225</v>
      </c>
      <c r="U196" s="109">
        <f>IF(VLOOKUP($D196,Sheet1!$M$5:$U$192,9,TRUE)=0,"",IF(ABS(D196-VLOOKUP($D196,Sheet1!$M$5:$U$192,9,TRUE))&lt;10^-10,"Alt.",D196-VLOOKUP($D196,Sheet1!$M$5:$U$192,9,TRUE)))</f>
        <v>-0.14492392038795643</v>
      </c>
      <c r="V196" s="132">
        <f>$D196-Sheet1!$M$3*$R196</f>
        <v>-0.14998087803339111</v>
      </c>
      <c r="Z196" s="6"/>
      <c r="AA196" s="61"/>
    </row>
    <row r="197" spans="1:27" ht="13.5">
      <c r="A197" t="s">
        <v>1584</v>
      </c>
      <c r="B197">
        <v>1785856</v>
      </c>
      <c r="C197">
        <v>1791153</v>
      </c>
      <c r="D197" s="13">
        <f t="shared" si="6"/>
        <v>5.1273862946105027</v>
      </c>
      <c r="E197" s="61" t="s">
        <v>1931</v>
      </c>
      <c r="F197" s="65">
        <v>167.23404327866254</v>
      </c>
      <c r="G197" s="6">
        <v>1491</v>
      </c>
      <c r="H197" s="6">
        <v>1433</v>
      </c>
      <c r="I197" s="65">
        <v>8.6842881457555343</v>
      </c>
      <c r="J197" s="6">
        <f>VLOOKUP($D197,Sheet1!$A$5:$C$192,3,TRUE)</f>
        <v>1</v>
      </c>
      <c r="K197" s="42" t="str">
        <f>VLOOKUP($D197,Sheet1!$A$5:$C$192,2,TRUE)</f>
        <v>|(</v>
      </c>
      <c r="L197" s="6">
        <f>FLOOR(VLOOKUP($D197,Sheet1!$D$5:$F$192,3,TRUE),1)</f>
        <v>2</v>
      </c>
      <c r="M197" s="42" t="str">
        <f>VLOOKUP($D197,Sheet1!$D$5:$F$192,2,TRUE)</f>
        <v>|(</v>
      </c>
      <c r="N197" s="23">
        <f>FLOOR(VLOOKUP($D197,Sheet1!$G$5:$I$192,3,TRUE),1)</f>
        <v>3</v>
      </c>
      <c r="O197" s="42" t="str">
        <f>VLOOKUP($D197,Sheet1!$G$5:$I$192,2,TRUE)</f>
        <v>|(</v>
      </c>
      <c r="P197" s="23">
        <v>1</v>
      </c>
      <c r="Q197" s="43" t="str">
        <f>VLOOKUP($D197,Sheet1!$J$5:$L$192,2,TRUE)</f>
        <v>|(.</v>
      </c>
      <c r="R197" s="23">
        <f>FLOOR(VLOOKUP($D197,Sheet1!$M$5:$O$192,3,TRUE),1)</f>
        <v>11</v>
      </c>
      <c r="S197" s="42" t="str">
        <f>VLOOKUP($D197,Sheet1!$M$5:$O$192,2,TRUE)</f>
        <v>|(.</v>
      </c>
      <c r="T197" s="117">
        <f>IF(ABS(D197-VLOOKUP($D197,Sheet1!$M$5:$T$192,8,TRUE))&lt;10^-10,"SoCA",D197-VLOOKUP($D197,Sheet1!$M$5:$T$192,8,TRUE))</f>
        <v>-0.20769974281987391</v>
      </c>
      <c r="U197" s="109">
        <f>IF(VLOOKUP($D197,Sheet1!$M$5:$U$192,9,TRUE)=0,"",IF(ABS(D197-VLOOKUP($D197,Sheet1!$M$5:$U$192,9,TRUE))&lt;10^-10,"Alt.",D197-VLOOKUP($D197,Sheet1!$M$5:$U$192,9,TRUE)))</f>
        <v>-0.23466003802230784</v>
      </c>
      <c r="V197" s="132">
        <f>$D197-Sheet1!$M$3*$R197</f>
        <v>-0.23971699566774252</v>
      </c>
      <c r="Z197" s="6"/>
      <c r="AA197" s="61"/>
    </row>
    <row r="198" spans="1:27" ht="13.5">
      <c r="A198" t="s">
        <v>929</v>
      </c>
      <c r="B198">
        <v>438272</v>
      </c>
      <c r="C198">
        <v>439587</v>
      </c>
      <c r="D198" s="13">
        <f t="shared" si="6"/>
        <v>5.1866517910499708</v>
      </c>
      <c r="E198" s="61" t="s">
        <v>1931</v>
      </c>
      <c r="F198" s="65">
        <v>180.58616070367552</v>
      </c>
      <c r="G198" s="6">
        <v>629</v>
      </c>
      <c r="H198" s="6">
        <v>777</v>
      </c>
      <c r="I198" s="65">
        <v>7.6806389532237977</v>
      </c>
      <c r="J198" s="6">
        <f>VLOOKUP($D198,Sheet1!$A$5:$C$192,3,TRUE)</f>
        <v>1</v>
      </c>
      <c r="K198" s="42" t="str">
        <f>VLOOKUP($D198,Sheet1!$A$5:$C$192,2,TRUE)</f>
        <v>|(</v>
      </c>
      <c r="L198" s="6">
        <f>FLOOR(VLOOKUP($D198,Sheet1!$D$5:$F$192,3,TRUE),1)</f>
        <v>2</v>
      </c>
      <c r="M198" s="42" t="str">
        <f>VLOOKUP($D198,Sheet1!$D$5:$F$192,2,TRUE)</f>
        <v>|(</v>
      </c>
      <c r="N198" s="23">
        <f>FLOOR(VLOOKUP($D198,Sheet1!$G$5:$I$192,3,TRUE),1)</f>
        <v>3</v>
      </c>
      <c r="O198" s="42" t="str">
        <f>VLOOKUP($D198,Sheet1!$G$5:$I$192,2,TRUE)</f>
        <v>|(</v>
      </c>
      <c r="P198" s="23">
        <v>1</v>
      </c>
      <c r="Q198" s="43" t="str">
        <f>VLOOKUP($D198,Sheet1!$J$5:$L$192,2,TRUE)</f>
        <v>|(.</v>
      </c>
      <c r="R198" s="23">
        <f>FLOOR(VLOOKUP($D198,Sheet1!$M$5:$O$192,3,TRUE),1)</f>
        <v>11</v>
      </c>
      <c r="S198" s="42" t="str">
        <f>VLOOKUP($D198,Sheet1!$M$5:$O$192,2,TRUE)</f>
        <v>|(.</v>
      </c>
      <c r="T198" s="117">
        <f>IF(ABS(D198-VLOOKUP($D198,Sheet1!$M$5:$T$192,8,TRUE))&lt;10^-10,"SoCA",D198-VLOOKUP($D198,Sheet1!$M$5:$T$192,8,TRUE))</f>
        <v>-0.14843424638040581</v>
      </c>
      <c r="U198" s="109">
        <f>IF(VLOOKUP($D198,Sheet1!$M$5:$U$192,9,TRUE)=0,"",IF(ABS(D198-VLOOKUP($D198,Sheet1!$M$5:$U$192,9,TRUE))&lt;10^-10,"Alt.",D198-VLOOKUP($D198,Sheet1!$M$5:$U$192,9,TRUE)))</f>
        <v>-0.17539454158283974</v>
      </c>
      <c r="V198" s="132">
        <f>$D198-Sheet1!$M$3*$R198</f>
        <v>-0.18045149922827441</v>
      </c>
      <c r="Z198" s="6"/>
      <c r="AA198" s="61"/>
    </row>
    <row r="199" spans="1:27" ht="13.5">
      <c r="A199" t="s">
        <v>993</v>
      </c>
      <c r="B199">
        <v>43952</v>
      </c>
      <c r="C199">
        <v>44091</v>
      </c>
      <c r="D199" s="13">
        <f t="shared" si="6"/>
        <v>5.4664591791686856</v>
      </c>
      <c r="E199" s="61" t="s">
        <v>1931</v>
      </c>
      <c r="F199" s="65">
        <v>202.21057634817862</v>
      </c>
      <c r="G199" s="6">
        <v>906</v>
      </c>
      <c r="H199" s="6">
        <v>841</v>
      </c>
      <c r="I199" s="65">
        <v>2.663410192943513</v>
      </c>
      <c r="J199" s="6">
        <f>VLOOKUP($D199,Sheet1!$A$5:$C$192,3,TRUE)</f>
        <v>1</v>
      </c>
      <c r="K199" s="42" t="str">
        <f>VLOOKUP($D199,Sheet1!$A$5:$C$192,2,TRUE)</f>
        <v>|(</v>
      </c>
      <c r="L199" s="6">
        <f>FLOOR(VLOOKUP($D199,Sheet1!$D$5:$F$192,3,TRUE),1)</f>
        <v>2</v>
      </c>
      <c r="M199" s="42" t="str">
        <f>VLOOKUP($D199,Sheet1!$D$5:$F$192,2,TRUE)</f>
        <v>|(</v>
      </c>
      <c r="N199" s="23">
        <f>FLOOR(VLOOKUP($D199,Sheet1!$G$5:$I$192,3,TRUE),1)</f>
        <v>3</v>
      </c>
      <c r="O199" s="42" t="str">
        <f>VLOOKUP($D199,Sheet1!$G$5:$I$192,2,TRUE)</f>
        <v>|(</v>
      </c>
      <c r="P199" s="23">
        <v>1</v>
      </c>
      <c r="Q199" s="43" t="str">
        <f>VLOOKUP($D199,Sheet1!$J$5:$L$192,2,TRUE)</f>
        <v>|(.</v>
      </c>
      <c r="R199" s="23">
        <f>FLOOR(VLOOKUP($D199,Sheet1!$M$5:$O$192,3,TRUE),1)</f>
        <v>11</v>
      </c>
      <c r="S199" s="42" t="str">
        <f>VLOOKUP($D199,Sheet1!$M$5:$O$192,2,TRUE)</f>
        <v>|(.</v>
      </c>
      <c r="T199" s="117">
        <f>IF(ABS(D199-VLOOKUP($D199,Sheet1!$M$5:$T$192,8,TRUE))&lt;10^-10,"SoCA",D199-VLOOKUP($D199,Sheet1!$M$5:$T$192,8,TRUE))</f>
        <v>0.13137314173830905</v>
      </c>
      <c r="U199" s="109">
        <f>IF(VLOOKUP($D199,Sheet1!$M$5:$U$192,9,TRUE)=0,"",IF(ABS(D199-VLOOKUP($D199,Sheet1!$M$5:$U$192,9,TRUE))&lt;10^-10,"Alt.",D199-VLOOKUP($D199,Sheet1!$M$5:$U$192,9,TRUE)))</f>
        <v>0.10441284653587513</v>
      </c>
      <c r="V199" s="132">
        <f>$D199-Sheet1!$M$3*$R199</f>
        <v>9.9355888890440447E-2</v>
      </c>
      <c r="Z199" s="6"/>
      <c r="AA199" s="61"/>
    </row>
    <row r="200" spans="1:27" ht="13.5">
      <c r="A200" t="s">
        <v>1156</v>
      </c>
      <c r="B200">
        <v>13527</v>
      </c>
      <c r="C200">
        <v>13568</v>
      </c>
      <c r="D200" s="13">
        <f t="shared" si="6"/>
        <v>5.2393910454267276</v>
      </c>
      <c r="E200" s="61" t="s">
        <v>1931</v>
      </c>
      <c r="F200" s="65">
        <v>220.53736621321832</v>
      </c>
      <c r="G200" s="6">
        <v>1058</v>
      </c>
      <c r="H200" s="6">
        <v>1005</v>
      </c>
      <c r="I200" s="65">
        <v>-4.3226083948077436</v>
      </c>
      <c r="J200" s="6">
        <f>VLOOKUP($D200,Sheet1!$A$5:$C$192,3,TRUE)</f>
        <v>1</v>
      </c>
      <c r="K200" s="42" t="str">
        <f>VLOOKUP($D200,Sheet1!$A$5:$C$192,2,TRUE)</f>
        <v>|(</v>
      </c>
      <c r="L200" s="6">
        <f>FLOOR(VLOOKUP($D200,Sheet1!$D$5:$F$192,3,TRUE),1)</f>
        <v>2</v>
      </c>
      <c r="M200" s="42" t="str">
        <f>VLOOKUP($D200,Sheet1!$D$5:$F$192,2,TRUE)</f>
        <v>|(</v>
      </c>
      <c r="N200" s="23">
        <f>FLOOR(VLOOKUP($D200,Sheet1!$G$5:$I$192,3,TRUE),1)</f>
        <v>3</v>
      </c>
      <c r="O200" s="42" t="str">
        <f>VLOOKUP($D200,Sheet1!$G$5:$I$192,2,TRUE)</f>
        <v>|(</v>
      </c>
      <c r="P200" s="23">
        <v>1</v>
      </c>
      <c r="Q200" s="43" t="str">
        <f>VLOOKUP($D200,Sheet1!$J$5:$L$192,2,TRUE)</f>
        <v>|(.</v>
      </c>
      <c r="R200" s="23">
        <f>FLOOR(VLOOKUP($D200,Sheet1!$M$5:$O$192,3,TRUE),1)</f>
        <v>11</v>
      </c>
      <c r="S200" s="42" t="str">
        <f>VLOOKUP($D200,Sheet1!$M$5:$O$192,2,TRUE)</f>
        <v>|(.</v>
      </c>
      <c r="T200" s="117">
        <f>IF(ABS(D200-VLOOKUP($D200,Sheet1!$M$5:$T$192,8,TRUE))&lt;10^-10,"SoCA",D200-VLOOKUP($D200,Sheet1!$M$5:$T$192,8,TRUE))</f>
        <v>-9.5694992003648949E-2</v>
      </c>
      <c r="U200" s="109">
        <f>IF(VLOOKUP($D200,Sheet1!$M$5:$U$192,9,TRUE)=0,"",IF(ABS(D200-VLOOKUP($D200,Sheet1!$M$5:$U$192,9,TRUE))&lt;10^-10,"Alt.",D200-VLOOKUP($D200,Sheet1!$M$5:$U$192,9,TRUE)))</f>
        <v>-0.12265528720608287</v>
      </c>
      <c r="V200" s="132">
        <f>$D200-Sheet1!$M$3*$R200</f>
        <v>-0.12771224485151755</v>
      </c>
      <c r="Z200" s="6"/>
      <c r="AA200" s="61"/>
    </row>
    <row r="201" spans="1:27" ht="13.5">
      <c r="A201" t="s">
        <v>886</v>
      </c>
      <c r="B201">
        <v>1552</v>
      </c>
      <c r="C201">
        <v>1557</v>
      </c>
      <c r="D201" s="13">
        <f t="shared" si="6"/>
        <v>5.5684642702911589</v>
      </c>
      <c r="E201" s="61" t="s">
        <v>1931</v>
      </c>
      <c r="F201" s="65">
        <v>270.11077063856794</v>
      </c>
      <c r="G201" s="6">
        <v>796</v>
      </c>
      <c r="H201" s="6">
        <v>733</v>
      </c>
      <c r="I201" s="65">
        <v>1.6571293678583225</v>
      </c>
      <c r="J201" s="6">
        <f>VLOOKUP($D201,Sheet1!$A$5:$C$192,3,TRUE)</f>
        <v>1</v>
      </c>
      <c r="K201" s="42" t="str">
        <f>VLOOKUP($D201,Sheet1!$A$5:$C$192,2,TRUE)</f>
        <v>|(</v>
      </c>
      <c r="L201" s="6">
        <f>FLOOR(VLOOKUP($D201,Sheet1!$D$5:$F$192,3,TRUE),1)</f>
        <v>2</v>
      </c>
      <c r="M201" s="42" t="str">
        <f>VLOOKUP($D201,Sheet1!$D$5:$F$192,2,TRUE)</f>
        <v>|(</v>
      </c>
      <c r="N201" s="23">
        <f>FLOOR(VLOOKUP($D201,Sheet1!$G$5:$I$192,3,TRUE),1)</f>
        <v>3</v>
      </c>
      <c r="O201" s="42" t="str">
        <f>VLOOKUP($D201,Sheet1!$G$5:$I$192,2,TRUE)</f>
        <v>|(</v>
      </c>
      <c r="P201" s="23">
        <v>1</v>
      </c>
      <c r="Q201" s="43" t="str">
        <f>VLOOKUP($D201,Sheet1!$J$5:$L$192,2,TRUE)</f>
        <v>|(.</v>
      </c>
      <c r="R201" s="23">
        <f>FLOOR(VLOOKUP($D201,Sheet1!$M$5:$O$192,3,TRUE),1)</f>
        <v>11</v>
      </c>
      <c r="S201" s="42" t="str">
        <f>VLOOKUP($D201,Sheet1!$M$5:$O$192,2,TRUE)</f>
        <v>|(.</v>
      </c>
      <c r="T201" s="117">
        <f>IF(ABS(D201-VLOOKUP($D201,Sheet1!$M$5:$T$192,8,TRUE))&lt;10^-10,"SoCA",D201-VLOOKUP($D201,Sheet1!$M$5:$T$192,8,TRUE))</f>
        <v>0.2333782328607823</v>
      </c>
      <c r="U201" s="109">
        <f>IF(VLOOKUP($D201,Sheet1!$M$5:$U$192,9,TRUE)=0,"",IF(ABS(D201-VLOOKUP($D201,Sheet1!$M$5:$U$192,9,TRUE))&lt;10^-10,"Alt.",D201-VLOOKUP($D201,Sheet1!$M$5:$U$192,9,TRUE)))</f>
        <v>0.20641793765834837</v>
      </c>
      <c r="V201" s="132">
        <f>$D201-Sheet1!$M$3*$R201</f>
        <v>0.20136098001291369</v>
      </c>
      <c r="Z201" s="6"/>
      <c r="AA201" s="61"/>
    </row>
    <row r="202" spans="1:27" ht="13.5">
      <c r="A202" t="s">
        <v>569</v>
      </c>
      <c r="B202">
        <v>643</v>
      </c>
      <c r="C202">
        <v>645</v>
      </c>
      <c r="D202" s="13">
        <f t="shared" si="6"/>
        <v>5.3765075792029187</v>
      </c>
      <c r="E202" s="61" t="s">
        <v>1931</v>
      </c>
      <c r="F202" s="65">
        <v>829.26485974504487</v>
      </c>
      <c r="G202" s="6">
        <v>452</v>
      </c>
      <c r="H202" s="6">
        <v>413</v>
      </c>
      <c r="I202" s="65">
        <v>0.66894884066492621</v>
      </c>
      <c r="J202" s="6">
        <f>VLOOKUP($D202,Sheet1!$A$5:$C$192,3,TRUE)</f>
        <v>1</v>
      </c>
      <c r="K202" s="42" t="str">
        <f>VLOOKUP($D202,Sheet1!$A$5:$C$192,2,TRUE)</f>
        <v>|(</v>
      </c>
      <c r="L202" s="6">
        <f>FLOOR(VLOOKUP($D202,Sheet1!$D$5:$F$192,3,TRUE),1)</f>
        <v>2</v>
      </c>
      <c r="M202" s="42" t="str">
        <f>VLOOKUP($D202,Sheet1!$D$5:$F$192,2,TRUE)</f>
        <v>|(</v>
      </c>
      <c r="N202" s="23">
        <f>FLOOR(VLOOKUP($D202,Sheet1!$G$5:$I$192,3,TRUE),1)</f>
        <v>3</v>
      </c>
      <c r="O202" s="42" t="str">
        <f>VLOOKUP($D202,Sheet1!$G$5:$I$192,2,TRUE)</f>
        <v>|(</v>
      </c>
      <c r="P202" s="23">
        <v>1</v>
      </c>
      <c r="Q202" s="43" t="str">
        <f>VLOOKUP($D202,Sheet1!$J$5:$L$192,2,TRUE)</f>
        <v>|(.</v>
      </c>
      <c r="R202" s="23">
        <f>FLOOR(VLOOKUP($D202,Sheet1!$M$5:$O$192,3,TRUE),1)</f>
        <v>11</v>
      </c>
      <c r="S202" s="42" t="str">
        <f>VLOOKUP($D202,Sheet1!$M$5:$O$192,2,TRUE)</f>
        <v>|(.</v>
      </c>
      <c r="T202" s="117">
        <f>IF(ABS(D202-VLOOKUP($D202,Sheet1!$M$5:$T$192,8,TRUE))&lt;10^-10,"SoCA",D202-VLOOKUP($D202,Sheet1!$M$5:$T$192,8,TRUE))</f>
        <v>4.1421541772542092E-2</v>
      </c>
      <c r="U202" s="109">
        <f>IF(VLOOKUP($D202,Sheet1!$M$5:$U$192,9,TRUE)=0,"",IF(ABS(D202-VLOOKUP($D202,Sheet1!$M$5:$U$192,9,TRUE))&lt;10^-10,"Alt.",D202-VLOOKUP($D202,Sheet1!$M$5:$U$192,9,TRUE)))</f>
        <v>1.4461246570108166E-2</v>
      </c>
      <c r="V202" s="132">
        <f>$D202-Sheet1!$M$3*$R202</f>
        <v>9.4042889246734873E-3</v>
      </c>
      <c r="Z202" s="6"/>
      <c r="AA202" s="61"/>
    </row>
    <row r="203" spans="1:27" ht="13.5">
      <c r="A203" t="s">
        <v>994</v>
      </c>
      <c r="B203">
        <v>20000</v>
      </c>
      <c r="C203">
        <v>20061</v>
      </c>
      <c r="D203" s="13">
        <f t="shared" si="6"/>
        <v>5.2722277831384519</v>
      </c>
      <c r="E203" s="61" t="s">
        <v>1931</v>
      </c>
      <c r="F203" s="65">
        <v>1221.063879800952</v>
      </c>
      <c r="G203" s="6">
        <v>907</v>
      </c>
      <c r="H203" s="6">
        <v>842</v>
      </c>
      <c r="I203" s="65">
        <v>2.6753697276205965</v>
      </c>
      <c r="J203" s="6">
        <f>VLOOKUP($D203,Sheet1!$A$5:$C$192,3,TRUE)</f>
        <v>1</v>
      </c>
      <c r="K203" s="42" t="str">
        <f>VLOOKUP($D203,Sheet1!$A$5:$C$192,2,TRUE)</f>
        <v>|(</v>
      </c>
      <c r="L203" s="6">
        <f>FLOOR(VLOOKUP($D203,Sheet1!$D$5:$F$192,3,TRUE),1)</f>
        <v>2</v>
      </c>
      <c r="M203" s="42" t="str">
        <f>VLOOKUP($D203,Sheet1!$D$5:$F$192,2,TRUE)</f>
        <v>|(</v>
      </c>
      <c r="N203" s="23">
        <f>FLOOR(VLOOKUP($D203,Sheet1!$G$5:$I$192,3,TRUE),1)</f>
        <v>3</v>
      </c>
      <c r="O203" s="42" t="str">
        <f>VLOOKUP($D203,Sheet1!$G$5:$I$192,2,TRUE)</f>
        <v>|(</v>
      </c>
      <c r="P203" s="23">
        <v>1</v>
      </c>
      <c r="Q203" s="43" t="str">
        <f>VLOOKUP($D203,Sheet1!$J$5:$L$192,2,TRUE)</f>
        <v>|(.</v>
      </c>
      <c r="R203" s="23">
        <f>FLOOR(VLOOKUP($D203,Sheet1!$M$5:$O$192,3,TRUE),1)</f>
        <v>11</v>
      </c>
      <c r="S203" s="42" t="str">
        <f>VLOOKUP($D203,Sheet1!$M$5:$O$192,2,TRUE)</f>
        <v>|(.</v>
      </c>
      <c r="T203" s="117">
        <f>IF(ABS(D203-VLOOKUP($D203,Sheet1!$M$5:$T$192,8,TRUE))&lt;10^-10,"SoCA",D203-VLOOKUP($D203,Sheet1!$M$5:$T$192,8,TRUE))</f>
        <v>-6.2858254291924709E-2</v>
      </c>
      <c r="U203" s="109">
        <f>IF(VLOOKUP($D203,Sheet1!$M$5:$U$192,9,TRUE)=0,"",IF(ABS(D203-VLOOKUP($D203,Sheet1!$M$5:$U$192,9,TRUE))&lt;10^-10,"Alt.",D203-VLOOKUP($D203,Sheet1!$M$5:$U$192,9,TRUE)))</f>
        <v>-8.9818549494358635E-2</v>
      </c>
      <c r="V203" s="132">
        <f>$D203-Sheet1!$M$3*$R203</f>
        <v>-9.4875507139793314E-2</v>
      </c>
      <c r="Z203" s="6"/>
      <c r="AA203" s="61"/>
    </row>
    <row r="204" spans="1:27" ht="13.5">
      <c r="A204" t="s">
        <v>1101</v>
      </c>
      <c r="B204">
        <v>84265936</v>
      </c>
      <c r="C204">
        <v>84516291</v>
      </c>
      <c r="D204" s="13">
        <f t="shared" si="6"/>
        <v>5.1358893164122472</v>
      </c>
      <c r="E204" s="61" t="s">
        <v>1931</v>
      </c>
      <c r="F204" s="65">
        <v>1456000.7163580479</v>
      </c>
      <c r="G204" s="6">
        <v>1013</v>
      </c>
      <c r="H204" s="6">
        <v>950</v>
      </c>
      <c r="I204" s="65">
        <v>3.6837645837250061</v>
      </c>
      <c r="J204" s="6">
        <f>VLOOKUP($D204,Sheet1!$A$5:$C$192,3,TRUE)</f>
        <v>1</v>
      </c>
      <c r="K204" s="42" t="str">
        <f>VLOOKUP($D204,Sheet1!$A$5:$C$192,2,TRUE)</f>
        <v>|(</v>
      </c>
      <c r="L204" s="6">
        <f>FLOOR(VLOOKUP($D204,Sheet1!$D$5:$F$192,3,TRUE),1)</f>
        <v>2</v>
      </c>
      <c r="M204" s="42" t="str">
        <f>VLOOKUP($D204,Sheet1!$D$5:$F$192,2,TRUE)</f>
        <v>|(</v>
      </c>
      <c r="N204" s="23">
        <f>FLOOR(VLOOKUP($D204,Sheet1!$G$5:$I$192,3,TRUE),1)</f>
        <v>3</v>
      </c>
      <c r="O204" s="42" t="str">
        <f>VLOOKUP($D204,Sheet1!$G$5:$I$192,2,TRUE)</f>
        <v>|(</v>
      </c>
      <c r="P204" s="23">
        <v>1</v>
      </c>
      <c r="Q204" s="43" t="str">
        <f>VLOOKUP($D204,Sheet1!$J$5:$L$192,2,TRUE)</f>
        <v>|(.</v>
      </c>
      <c r="R204" s="23">
        <f>FLOOR(VLOOKUP($D204,Sheet1!$M$5:$O$192,3,TRUE),1)</f>
        <v>11</v>
      </c>
      <c r="S204" s="42" t="str">
        <f>VLOOKUP($D204,Sheet1!$M$5:$O$192,2,TRUE)</f>
        <v>|(.</v>
      </c>
      <c r="T204" s="117">
        <f>IF(ABS(D204-VLOOKUP($D204,Sheet1!$M$5:$T$192,8,TRUE))&lt;10^-10,"SoCA",D204-VLOOKUP($D204,Sheet1!$M$5:$T$192,8,TRUE))</f>
        <v>-0.19919672101812935</v>
      </c>
      <c r="U204" s="109">
        <f>IF(VLOOKUP($D204,Sheet1!$M$5:$U$192,9,TRUE)=0,"",IF(ABS(D204-VLOOKUP($D204,Sheet1!$M$5:$U$192,9,TRUE))&lt;10^-10,"Alt.",D204-VLOOKUP($D204,Sheet1!$M$5:$U$192,9,TRUE)))</f>
        <v>-0.22615701622056328</v>
      </c>
      <c r="V204" s="132">
        <f>$D204-Sheet1!$M$3*$R204</f>
        <v>-0.23121397386599796</v>
      </c>
      <c r="Z204" s="6"/>
      <c r="AA204" s="61"/>
    </row>
    <row r="205" spans="1:27" ht="13.5">
      <c r="A205" t="s">
        <v>787</v>
      </c>
      <c r="B205">
        <v>16694576</v>
      </c>
      <c r="C205">
        <v>16744647</v>
      </c>
      <c r="D205" s="13">
        <f t="shared" si="6"/>
        <v>5.1846111888950919</v>
      </c>
      <c r="E205" s="61" t="s">
        <v>1931</v>
      </c>
      <c r="F205" s="65">
        <v>6624960.1563087888</v>
      </c>
      <c r="G205" s="6">
        <v>670</v>
      </c>
      <c r="H205" s="6">
        <v>633</v>
      </c>
      <c r="I205" s="65">
        <v>0.68076460053279186</v>
      </c>
      <c r="J205" s="6">
        <f>VLOOKUP($D205,Sheet1!$A$5:$C$192,3,TRUE)</f>
        <v>1</v>
      </c>
      <c r="K205" s="42" t="str">
        <f>VLOOKUP($D205,Sheet1!$A$5:$C$192,2,TRUE)</f>
        <v>|(</v>
      </c>
      <c r="L205" s="6">
        <f>FLOOR(VLOOKUP($D205,Sheet1!$D$5:$F$192,3,TRUE),1)</f>
        <v>2</v>
      </c>
      <c r="M205" s="42" t="str">
        <f>VLOOKUP($D205,Sheet1!$D$5:$F$192,2,TRUE)</f>
        <v>|(</v>
      </c>
      <c r="N205" s="23">
        <f>FLOOR(VLOOKUP($D205,Sheet1!$G$5:$I$192,3,TRUE),1)</f>
        <v>3</v>
      </c>
      <c r="O205" s="42" t="str">
        <f>VLOOKUP($D205,Sheet1!$G$5:$I$192,2,TRUE)</f>
        <v>|(</v>
      </c>
      <c r="P205" s="23">
        <v>1</v>
      </c>
      <c r="Q205" s="43" t="str">
        <f>VLOOKUP($D205,Sheet1!$J$5:$L$192,2,TRUE)</f>
        <v>|(.</v>
      </c>
      <c r="R205" s="23">
        <f>FLOOR(VLOOKUP($D205,Sheet1!$M$5:$O$192,3,TRUE),1)</f>
        <v>11</v>
      </c>
      <c r="S205" s="42" t="str">
        <f>VLOOKUP($D205,Sheet1!$M$5:$O$192,2,TRUE)</f>
        <v>|(.</v>
      </c>
      <c r="T205" s="117">
        <f>IF(ABS(D205-VLOOKUP($D205,Sheet1!$M$5:$T$192,8,TRUE))&lt;10^-10,"SoCA",D205-VLOOKUP($D205,Sheet1!$M$5:$T$192,8,TRUE))</f>
        <v>-0.1504748485352847</v>
      </c>
      <c r="U205" s="109">
        <f>IF(VLOOKUP($D205,Sheet1!$M$5:$U$192,9,TRUE)=0,"",IF(ABS(D205-VLOOKUP($D205,Sheet1!$M$5:$U$192,9,TRUE))&lt;10^-10,"Alt.",D205-VLOOKUP($D205,Sheet1!$M$5:$U$192,9,TRUE)))</f>
        <v>-0.17743514373771863</v>
      </c>
      <c r="V205" s="132">
        <f>$D205-Sheet1!$M$3*$R205</f>
        <v>-0.1824921013831533</v>
      </c>
      <c r="Z205" s="6"/>
      <c r="AA205" s="61"/>
    </row>
    <row r="206" spans="1:27" ht="13.5">
      <c r="A206" s="83" t="s">
        <v>29</v>
      </c>
      <c r="B206" s="80">
        <f>3^6*7</f>
        <v>5103</v>
      </c>
      <c r="C206" s="80">
        <f>2^10*5</f>
        <v>5120</v>
      </c>
      <c r="D206" s="51">
        <f t="shared" si="6"/>
        <v>5.757802203385201</v>
      </c>
      <c r="E206" s="61">
        <v>7</v>
      </c>
      <c r="F206" s="65">
        <v>13.063006264377149</v>
      </c>
      <c r="G206" s="6">
        <v>12</v>
      </c>
      <c r="H206" s="6">
        <v>12</v>
      </c>
      <c r="I206" s="65">
        <v>-6.3545288584779236</v>
      </c>
      <c r="J206" s="81">
        <f>VLOOKUP($D206,Sheet1!$A$5:$C$192,3,TRUE)</f>
        <v>1</v>
      </c>
      <c r="K206" s="82" t="str">
        <f>VLOOKUP($D206,Sheet1!$A$5:$C$192,2,TRUE)</f>
        <v>|(</v>
      </c>
      <c r="L206" s="81">
        <f>FLOOR(VLOOKUP($D206,Sheet1!$D$5:$F$192,3,TRUE),1)</f>
        <v>2</v>
      </c>
      <c r="M206" s="82" t="str">
        <f>VLOOKUP($D206,Sheet1!$D$5:$F$192,2,TRUE)</f>
        <v>|(</v>
      </c>
      <c r="N206" s="81">
        <f>FLOOR(VLOOKUP($D206,Sheet1!$G$5:$I$192,3,TRUE),1)</f>
        <v>3</v>
      </c>
      <c r="O206" s="82" t="str">
        <f>VLOOKUP($D206,Sheet1!$G$5:$I$192,2,TRUE)</f>
        <v>|(</v>
      </c>
      <c r="P206" s="81">
        <v>1</v>
      </c>
      <c r="Q206" s="82" t="str">
        <f>VLOOKUP($D206,Sheet1!$J$5:$L$192,2,TRUE)</f>
        <v>|(</v>
      </c>
      <c r="R206" s="81">
        <f>FLOOR(VLOOKUP($D206,Sheet1!$M$5:$O$192,3,TRUE),1)</f>
        <v>12</v>
      </c>
      <c r="S206" s="82" t="str">
        <f>VLOOKUP($D206,Sheet1!$M$5:$O$192,2,TRUE)</f>
        <v>|(</v>
      </c>
      <c r="T206" s="111" t="str">
        <f>IF(ABS(D206-VLOOKUP($D206,Sheet1!$M$5:$T$192,8,TRUE))&lt;10^-10,"SoCA",D206-VLOOKUP($D206,Sheet1!$M$5:$T$192,8,TRUE))</f>
        <v>SoCA</v>
      </c>
      <c r="U206" s="110" t="str">
        <f>IF(VLOOKUP($D206,Sheet1!$M$5:$U$192,9,TRUE)=0,"",IF(ABS(D206-VLOOKUP($D206,Sheet1!$M$5:$U$192,9,TRUE))&lt;10^-10,"Alt.",D206-VLOOKUP($D206,Sheet1!$M$5:$U$192,9,TRUE)))</f>
        <v/>
      </c>
      <c r="V206" s="135">
        <f>$D206-Sheet1!$M$3*$R206</f>
        <v>-9.7219567827430353E-2</v>
      </c>
      <c r="Z206" s="6"/>
      <c r="AA206" s="61"/>
    </row>
    <row r="207" spans="1:27" ht="13.5">
      <c r="A207" s="6" t="s">
        <v>476</v>
      </c>
      <c r="B207" s="6">
        <f>2^18*11</f>
        <v>2883584</v>
      </c>
      <c r="C207" s="6">
        <f>3^10*7^2</f>
        <v>2893401</v>
      </c>
      <c r="D207" s="13">
        <f t="shared" si="6"/>
        <v>5.8838792273672231</v>
      </c>
      <c r="E207" s="61">
        <v>11</v>
      </c>
      <c r="F207" s="65">
        <v>46.57390384813332</v>
      </c>
      <c r="G207" s="6">
        <v>203</v>
      </c>
      <c r="H207" s="6">
        <v>314</v>
      </c>
      <c r="I207" s="65">
        <v>9.6377081198318972</v>
      </c>
      <c r="J207" s="6">
        <f>VLOOKUP($D207,Sheet1!$A$5:$C$192,3,TRUE)</f>
        <v>1</v>
      </c>
      <c r="K207" s="42" t="str">
        <f>VLOOKUP($D207,Sheet1!$A$5:$C$192,2,TRUE)</f>
        <v>|(</v>
      </c>
      <c r="L207" s="6">
        <f>FLOOR(VLOOKUP($D207,Sheet1!$D$5:$F$192,3,TRUE),1)</f>
        <v>2</v>
      </c>
      <c r="M207" s="42" t="str">
        <f>VLOOKUP($D207,Sheet1!$D$5:$F$192,2,TRUE)</f>
        <v>|(</v>
      </c>
      <c r="N207" s="23">
        <f>FLOOR(VLOOKUP($D207,Sheet1!$G$5:$I$192,3,TRUE),1)</f>
        <v>3</v>
      </c>
      <c r="O207" s="42" t="str">
        <f>VLOOKUP($D207,Sheet1!$G$5:$I$192,2,TRUE)</f>
        <v>|(</v>
      </c>
      <c r="P207" s="23">
        <v>1</v>
      </c>
      <c r="Q207" s="43" t="str">
        <f>VLOOKUP($D207,Sheet1!$J$5:$L$192,2,TRUE)</f>
        <v>|(</v>
      </c>
      <c r="R207" s="23">
        <f>FLOOR(VLOOKUP($D207,Sheet1!$M$5:$O$192,3,TRUE),1)</f>
        <v>12</v>
      </c>
      <c r="S207" s="42" t="str">
        <f>VLOOKUP($D207,Sheet1!$M$5:$O$192,2,TRUE)</f>
        <v>|(</v>
      </c>
      <c r="T207" s="117">
        <f>IF(ABS(D207-VLOOKUP($D207,Sheet1!$M$5:$T$192,8,TRUE))&lt;10^-10,"SoCA",D207-VLOOKUP($D207,Sheet1!$M$5:$T$192,8,TRUE))</f>
        <v>0.12607702398202214</v>
      </c>
      <c r="U207" s="109" t="str">
        <f>IF(VLOOKUP($D207,Sheet1!$M$5:$U$192,9,TRUE)=0,"",IF(ABS(D207-VLOOKUP($D207,Sheet1!$M$5:$U$192,9,TRUE))&lt;10^-10,"Alt.",D207-VLOOKUP($D207,Sheet1!$M$5:$U$192,9,TRUE)))</f>
        <v/>
      </c>
      <c r="V207" s="132">
        <f>$D207-Sheet1!$M$3*$R207</f>
        <v>2.8857456154591787E-2</v>
      </c>
      <c r="Z207" s="6"/>
      <c r="AA207" s="61"/>
    </row>
    <row r="208" spans="1:27" ht="13.5">
      <c r="A208" s="23" t="s">
        <v>519</v>
      </c>
      <c r="B208" s="23">
        <f>2^5*3^2</f>
        <v>288</v>
      </c>
      <c r="C208" s="23">
        <f>17^2</f>
        <v>289</v>
      </c>
      <c r="D208" s="13">
        <f t="shared" si="6"/>
        <v>6.0008172700399154</v>
      </c>
      <c r="E208" s="61">
        <v>17</v>
      </c>
      <c r="F208" s="65">
        <v>47.690742349537992</v>
      </c>
      <c r="G208" s="6">
        <v>392</v>
      </c>
      <c r="H208" s="6">
        <v>360</v>
      </c>
      <c r="I208" s="65">
        <v>-2.3694921814839445</v>
      </c>
      <c r="J208" s="6">
        <f>VLOOKUP($D208,Sheet1!$A$5:$C$192,3,TRUE)</f>
        <v>1</v>
      </c>
      <c r="K208" s="42" t="str">
        <f>VLOOKUP($D208,Sheet1!$A$5:$C$192,2,TRUE)</f>
        <v>|(</v>
      </c>
      <c r="L208" s="6">
        <f>FLOOR(VLOOKUP($D208,Sheet1!$D$5:$F$192,3,TRUE),1)</f>
        <v>2</v>
      </c>
      <c r="M208" s="42" t="str">
        <f>VLOOKUP($D208,Sheet1!$D$5:$F$192,2,TRUE)</f>
        <v>|(</v>
      </c>
      <c r="N208" s="23">
        <f>FLOOR(VLOOKUP($D208,Sheet1!$G$5:$I$192,3,TRUE),1)</f>
        <v>3</v>
      </c>
      <c r="O208" s="42" t="str">
        <f>VLOOKUP($D208,Sheet1!$G$5:$I$192,2,TRUE)</f>
        <v>|(</v>
      </c>
      <c r="P208" s="23">
        <v>1</v>
      </c>
      <c r="Q208" s="43" t="str">
        <f>VLOOKUP($D208,Sheet1!$J$5:$L$192,2,TRUE)</f>
        <v>|(</v>
      </c>
      <c r="R208" s="23">
        <f>FLOOR(VLOOKUP($D208,Sheet1!$M$5:$O$192,3,TRUE),1)</f>
        <v>12</v>
      </c>
      <c r="S208" s="43" t="str">
        <f>VLOOKUP($D208,Sheet1!$M$5:$O$192,2,TRUE)</f>
        <v>.~|..</v>
      </c>
      <c r="T208" s="117">
        <f>IF(ABS(D208-VLOOKUP($D208,Sheet1!$M$5:$T$192,8,TRUE))&lt;10^-10,"SoCA",D208-VLOOKUP($D208,Sheet1!$M$5:$T$192,8,TRUE))</f>
        <v>5.7465704770926607E-2</v>
      </c>
      <c r="U208" s="117">
        <f>IF(VLOOKUP($D208,Sheet1!$M$5:$U$192,9,TRUE)=0,"",IF(ABS(D208-VLOOKUP($D208,Sheet1!$M$5:$U$192,9,TRUE))&lt;10^-10,"Alt.",D208-VLOOKUP($D208,Sheet1!$M$5:$U$192,9,TRUE)))</f>
        <v>4.3413537376469691E-2</v>
      </c>
      <c r="V208" s="132">
        <f>$D208-Sheet1!$M$3*$R208</f>
        <v>0.14579549882728404</v>
      </c>
      <c r="Z208" s="6"/>
      <c r="AA208" s="61"/>
    </row>
    <row r="209" spans="1:27" ht="13.5">
      <c r="A209" s="14" t="s">
        <v>277</v>
      </c>
      <c r="B209" s="14">
        <f>2^3*37</f>
        <v>296</v>
      </c>
      <c r="C209" s="14">
        <f>3^3*11</f>
        <v>297</v>
      </c>
      <c r="D209" s="13">
        <f t="shared" si="6"/>
        <v>5.8389062061790682</v>
      </c>
      <c r="E209" s="61">
        <v>37</v>
      </c>
      <c r="F209" s="65">
        <v>48.153820944512724</v>
      </c>
      <c r="G209" s="6">
        <v>96</v>
      </c>
      <c r="H209" s="6">
        <v>90</v>
      </c>
      <c r="I209" s="65">
        <v>2.6404772725920891</v>
      </c>
      <c r="J209" s="6">
        <f>VLOOKUP($D209,Sheet1!$A$5:$C$192,3,TRUE)</f>
        <v>1</v>
      </c>
      <c r="K209" s="42" t="str">
        <f>VLOOKUP($D209,Sheet1!$A$5:$C$192,2,TRUE)</f>
        <v>|(</v>
      </c>
      <c r="L209" s="6">
        <f>FLOOR(VLOOKUP($D209,Sheet1!$D$5:$F$192,3,TRUE),1)</f>
        <v>2</v>
      </c>
      <c r="M209" s="42" t="str">
        <f>VLOOKUP($D209,Sheet1!$D$5:$F$192,2,TRUE)</f>
        <v>|(</v>
      </c>
      <c r="N209" s="23">
        <f>FLOOR(VLOOKUP($D209,Sheet1!$G$5:$I$192,3,TRUE),1)</f>
        <v>3</v>
      </c>
      <c r="O209" s="42" t="str">
        <f>VLOOKUP($D209,Sheet1!$G$5:$I$192,2,TRUE)</f>
        <v>|(</v>
      </c>
      <c r="P209" s="23">
        <v>1</v>
      </c>
      <c r="Q209" s="43" t="str">
        <f>VLOOKUP($D209,Sheet1!$J$5:$L$192,2,TRUE)</f>
        <v>|(</v>
      </c>
      <c r="R209" s="23">
        <f>FLOOR(VLOOKUP($D209,Sheet1!$M$5:$O$192,3,TRUE),1)</f>
        <v>12</v>
      </c>
      <c r="S209" s="42" t="str">
        <f>VLOOKUP($D209,Sheet1!$M$5:$O$192,2,TRUE)</f>
        <v>|(</v>
      </c>
      <c r="T209" s="117">
        <f>IF(ABS(D209-VLOOKUP($D209,Sheet1!$M$5:$T$192,8,TRUE))&lt;10^-10,"SoCA",D209-VLOOKUP($D209,Sheet1!$M$5:$T$192,8,TRUE))</f>
        <v>8.1104002793867203E-2</v>
      </c>
      <c r="U209" s="109" t="str">
        <f>IF(VLOOKUP($D209,Sheet1!$M$5:$U$192,9,TRUE)=0,"",IF(ABS(D209-VLOOKUP($D209,Sheet1!$M$5:$U$192,9,TRUE))&lt;10^-10,"Alt.",D209-VLOOKUP($D209,Sheet1!$M$5:$U$192,9,TRUE)))</f>
        <v/>
      </c>
      <c r="V209" s="132">
        <f>$D209-Sheet1!$M$3*$R209</f>
        <v>-1.6115565033563151E-2</v>
      </c>
      <c r="Z209" s="6"/>
      <c r="AA209" s="61"/>
    </row>
    <row r="210" spans="1:27" ht="13.5">
      <c r="A210" t="s">
        <v>716</v>
      </c>
      <c r="B210">
        <v>8960</v>
      </c>
      <c r="C210">
        <v>8991</v>
      </c>
      <c r="D210" s="13">
        <f t="shared" si="6"/>
        <v>5.9794227477171784</v>
      </c>
      <c r="E210" s="61">
        <v>37</v>
      </c>
      <c r="F210" s="65">
        <v>59.416778737406041</v>
      </c>
      <c r="G210" s="6">
        <v>601</v>
      </c>
      <c r="H210" s="6">
        <v>561</v>
      </c>
      <c r="I210" s="65">
        <v>4.6318251571999554</v>
      </c>
      <c r="J210" s="6">
        <f>VLOOKUP($D210,Sheet1!$A$5:$C$192,3,TRUE)</f>
        <v>1</v>
      </c>
      <c r="K210" s="42" t="str">
        <f>VLOOKUP($D210,Sheet1!$A$5:$C$192,2,TRUE)</f>
        <v>|(</v>
      </c>
      <c r="L210" s="6">
        <f>FLOOR(VLOOKUP($D210,Sheet1!$D$5:$F$192,3,TRUE),1)</f>
        <v>2</v>
      </c>
      <c r="M210" s="42" t="str">
        <f>VLOOKUP($D210,Sheet1!$D$5:$F$192,2,TRUE)</f>
        <v>|(</v>
      </c>
      <c r="N210" s="23">
        <f>FLOOR(VLOOKUP($D210,Sheet1!$G$5:$I$192,3,TRUE),1)</f>
        <v>3</v>
      </c>
      <c r="O210" s="42" t="str">
        <f>VLOOKUP($D210,Sheet1!$G$5:$I$192,2,TRUE)</f>
        <v>|(</v>
      </c>
      <c r="P210" s="23">
        <v>1</v>
      </c>
      <c r="Q210" s="43" t="str">
        <f>VLOOKUP($D210,Sheet1!$J$5:$L$192,2,TRUE)</f>
        <v>|(</v>
      </c>
      <c r="R210" s="23">
        <f>FLOOR(VLOOKUP($D210,Sheet1!$M$5:$O$192,3,TRUE),1)</f>
        <v>12</v>
      </c>
      <c r="S210" s="42" t="str">
        <f>VLOOKUP($D210,Sheet1!$M$5:$O$192,2,TRUE)</f>
        <v>.~|..</v>
      </c>
      <c r="T210" s="117">
        <f>IF(ABS(D210-VLOOKUP($D210,Sheet1!$M$5:$T$192,8,TRUE))&lt;10^-10,"SoCA",D210-VLOOKUP($D210,Sheet1!$M$5:$T$192,8,TRUE))</f>
        <v>3.6071182448189631E-2</v>
      </c>
      <c r="U210" s="109">
        <f>IF(VLOOKUP($D210,Sheet1!$M$5:$U$192,9,TRUE)=0,"",IF(ABS(D210-VLOOKUP($D210,Sheet1!$M$5:$U$192,9,TRUE))&lt;10^-10,"Alt.",D210-VLOOKUP($D210,Sheet1!$M$5:$U$192,9,TRUE)))</f>
        <v>2.2019015053732716E-2</v>
      </c>
      <c r="V210" s="132">
        <f>$D210-Sheet1!$M$3*$R210</f>
        <v>0.12440097650454707</v>
      </c>
      <c r="Z210" s="6"/>
      <c r="AA210" s="61"/>
    </row>
    <row r="211" spans="1:27" ht="13.5">
      <c r="A211" s="40" t="s">
        <v>362</v>
      </c>
      <c r="B211" s="40">
        <f>5^5</f>
        <v>3125</v>
      </c>
      <c r="C211" s="40">
        <f>2^6*7^2</f>
        <v>3136</v>
      </c>
      <c r="D211" s="13">
        <f t="shared" si="6"/>
        <v>6.0832436140757142</v>
      </c>
      <c r="E211" s="61">
        <v>7</v>
      </c>
      <c r="F211" s="65">
        <v>62.423555592957619</v>
      </c>
      <c r="G211" s="6">
        <v>236</v>
      </c>
      <c r="H211" s="6">
        <v>197</v>
      </c>
      <c r="I211" s="65">
        <v>-0.37456747178174921</v>
      </c>
      <c r="J211" s="6">
        <f>VLOOKUP($D211,Sheet1!$A$5:$C$192,3,TRUE)</f>
        <v>1</v>
      </c>
      <c r="K211" s="42" t="str">
        <f>VLOOKUP($D211,Sheet1!$A$5:$C$192,2,TRUE)</f>
        <v>|(</v>
      </c>
      <c r="L211" s="6">
        <f>FLOOR(VLOOKUP($D211,Sheet1!$D$5:$F$192,3,TRUE),1)</f>
        <v>2</v>
      </c>
      <c r="M211" s="42" t="str">
        <f>VLOOKUP($D211,Sheet1!$D$5:$F$192,2,TRUE)</f>
        <v>|(</v>
      </c>
      <c r="N211" s="23">
        <f>FLOOR(VLOOKUP($D211,Sheet1!$G$5:$I$192,3,TRUE),1)</f>
        <v>3</v>
      </c>
      <c r="O211" s="42" t="str">
        <f>VLOOKUP($D211,Sheet1!$G$5:$I$192,2,TRUE)</f>
        <v>|(</v>
      </c>
      <c r="P211" s="23">
        <v>1</v>
      </c>
      <c r="Q211" s="43" t="str">
        <f>VLOOKUP($D211,Sheet1!$J$5:$L$192,2,TRUE)</f>
        <v>|(</v>
      </c>
      <c r="R211" s="40">
        <f>FLOOR(VLOOKUP($D211,Sheet1!$M$5:$O$192,3,TRUE),1)</f>
        <v>12</v>
      </c>
      <c r="S211" s="46" t="str">
        <f>VLOOKUP($D211,Sheet1!$M$5:$O$192,2,TRUE)</f>
        <v>.~|..</v>
      </c>
      <c r="T211" s="115">
        <f>IF(ABS(D211-VLOOKUP($D211,Sheet1!$M$5:$T$192,8,TRUE))&lt;10^-10,"SoCA",D211-VLOOKUP($D211,Sheet1!$M$5:$T$192,8,TRUE))</f>
        <v>0.13989204880672546</v>
      </c>
      <c r="U211" s="115">
        <f>IF(VLOOKUP($D211,Sheet1!$M$5:$U$192,9,TRUE)=0,"",IF(ABS(D211-VLOOKUP($D211,Sheet1!$M$5:$U$192,9,TRUE))&lt;10^-10,"Alt.",D211-VLOOKUP($D211,Sheet1!$M$5:$U$192,9,TRUE)))</f>
        <v>0.12583988141226854</v>
      </c>
      <c r="V211" s="132">
        <f>$D211-Sheet1!$M$3*$R211</f>
        <v>0.22822184286308289</v>
      </c>
      <c r="Z211" s="6"/>
      <c r="AA211" s="61"/>
    </row>
    <row r="212" spans="1:27" ht="13.5">
      <c r="A212" t="s">
        <v>1664</v>
      </c>
      <c r="B212">
        <v>1436859</v>
      </c>
      <c r="C212">
        <v>1441792</v>
      </c>
      <c r="D212" s="13">
        <f t="shared" si="6"/>
        <v>5.9334639202494248</v>
      </c>
      <c r="E212" s="61" t="s">
        <v>1931</v>
      </c>
      <c r="F212" s="65">
        <v>98.414218037431425</v>
      </c>
      <c r="G212" s="6">
        <v>1569</v>
      </c>
      <c r="H212" s="6">
        <v>1513</v>
      </c>
      <c r="I212" s="65">
        <v>-9.3653449903557302</v>
      </c>
      <c r="J212" s="6">
        <f>VLOOKUP($D212,Sheet1!$A$5:$C$192,3,TRUE)</f>
        <v>1</v>
      </c>
      <c r="K212" s="42" t="str">
        <f>VLOOKUP($D212,Sheet1!$A$5:$C$192,2,TRUE)</f>
        <v>|(</v>
      </c>
      <c r="L212" s="6">
        <f>FLOOR(VLOOKUP($D212,Sheet1!$D$5:$F$192,3,TRUE),1)</f>
        <v>2</v>
      </c>
      <c r="M212" s="42" t="str">
        <f>VLOOKUP($D212,Sheet1!$D$5:$F$192,2,TRUE)</f>
        <v>|(</v>
      </c>
      <c r="N212" s="23">
        <f>FLOOR(VLOOKUP($D212,Sheet1!$G$5:$I$192,3,TRUE),1)</f>
        <v>3</v>
      </c>
      <c r="O212" s="42" t="str">
        <f>VLOOKUP($D212,Sheet1!$G$5:$I$192,2,TRUE)</f>
        <v>|(</v>
      </c>
      <c r="P212" s="23">
        <v>1</v>
      </c>
      <c r="Q212" s="43" t="str">
        <f>VLOOKUP($D212,Sheet1!$J$5:$L$192,2,TRUE)</f>
        <v>|(</v>
      </c>
      <c r="R212" s="23">
        <f>FLOOR(VLOOKUP($D212,Sheet1!$M$5:$O$192,3,TRUE),1)</f>
        <v>12</v>
      </c>
      <c r="S212" s="42" t="str">
        <f>VLOOKUP($D212,Sheet1!$M$5:$O$192,2,TRUE)</f>
        <v>.~|..</v>
      </c>
      <c r="T212" s="117">
        <f>IF(ABS(D212-VLOOKUP($D212,Sheet1!$M$5:$T$192,8,TRUE))&lt;10^-10,"SoCA",D212-VLOOKUP($D212,Sheet1!$M$5:$T$192,8,TRUE))</f>
        <v>-9.887645019563962E-3</v>
      </c>
      <c r="U212" s="109">
        <f>IF(VLOOKUP($D212,Sheet1!$M$5:$U$192,9,TRUE)=0,"",IF(ABS(D212-VLOOKUP($D212,Sheet1!$M$5:$U$192,9,TRUE))&lt;10^-10,"Alt.",D212-VLOOKUP($D212,Sheet1!$M$5:$U$192,9,TRUE)))</f>
        <v>-2.3939812414020878E-2</v>
      </c>
      <c r="V212" s="132">
        <f>$D212-Sheet1!$M$3*$R212</f>
        <v>7.8442149036793474E-2</v>
      </c>
      <c r="Z212" s="6"/>
      <c r="AA212" s="61"/>
    </row>
    <row r="213" spans="1:27" ht="13.5">
      <c r="A213" s="6" t="s">
        <v>1826</v>
      </c>
      <c r="B213">
        <v>10451673</v>
      </c>
      <c r="C213">
        <v>10485760</v>
      </c>
      <c r="D213" s="13">
        <f t="shared" si="6"/>
        <v>5.637045111363669</v>
      </c>
      <c r="E213" s="61" t="s">
        <v>1931</v>
      </c>
      <c r="F213" s="65">
        <v>117.84689483373678</v>
      </c>
      <c r="G213" s="59">
        <v>1537</v>
      </c>
      <c r="H213" s="63">
        <v>1000031</v>
      </c>
      <c r="I213" s="65">
        <v>-11.34709340438012</v>
      </c>
      <c r="J213" s="6">
        <f>VLOOKUP($D213,Sheet1!$A$5:$C$192,3,TRUE)</f>
        <v>1</v>
      </c>
      <c r="K213" s="42" t="str">
        <f>VLOOKUP($D213,Sheet1!$A$5:$C$192,2,TRUE)</f>
        <v>|(</v>
      </c>
      <c r="L213" s="6">
        <f>FLOOR(VLOOKUP($D213,Sheet1!$D$5:$F$192,3,TRUE),1)</f>
        <v>2</v>
      </c>
      <c r="M213" s="42" t="str">
        <f>VLOOKUP($D213,Sheet1!$D$5:$F$192,2,TRUE)</f>
        <v>|(</v>
      </c>
      <c r="N213" s="23">
        <f>FLOOR(VLOOKUP($D213,Sheet1!$G$5:$I$192,3,TRUE),1)</f>
        <v>3</v>
      </c>
      <c r="O213" s="42" t="str">
        <f>VLOOKUP($D213,Sheet1!$G$5:$I$192,2,TRUE)</f>
        <v>|(</v>
      </c>
      <c r="P213" s="23">
        <v>1</v>
      </c>
      <c r="Q213" s="43" t="str">
        <f>VLOOKUP($D213,Sheet1!$J$5:$L$192,2,TRUE)</f>
        <v>|(</v>
      </c>
      <c r="R213" s="23">
        <f>FLOOR(VLOOKUP($D213,Sheet1!$M$5:$O$192,3,TRUE),1)</f>
        <v>12</v>
      </c>
      <c r="S213" s="42" t="str">
        <f>VLOOKUP($D213,Sheet1!$M$5:$O$192,2,TRUE)</f>
        <v>|(</v>
      </c>
      <c r="T213" s="117">
        <f>IF(ABS(D213-VLOOKUP($D213,Sheet1!$M$5:$T$192,8,TRUE))&lt;10^-10,"SoCA",D213-VLOOKUP($D213,Sheet1!$M$5:$T$192,8,TRUE))</f>
        <v>-0.12075709202153195</v>
      </c>
      <c r="U213" s="109" t="str">
        <f>IF(VLOOKUP($D213,Sheet1!$M$5:$U$192,9,TRUE)=0,"",IF(ABS(D213-VLOOKUP($D213,Sheet1!$M$5:$U$192,9,TRUE))&lt;10^-10,"Alt.",D213-VLOOKUP($D213,Sheet1!$M$5:$U$192,9,TRUE)))</f>
        <v/>
      </c>
      <c r="V213" s="132">
        <f>$D213-Sheet1!$M$3*$R213</f>
        <v>-0.21797665984896231</v>
      </c>
      <c r="Z213" s="6"/>
      <c r="AA213" s="61"/>
    </row>
    <row r="214" spans="1:27" ht="13.5">
      <c r="A214" t="s">
        <v>597</v>
      </c>
      <c r="B214">
        <v>303</v>
      </c>
      <c r="C214">
        <v>304</v>
      </c>
      <c r="D214" s="13">
        <f t="shared" si="6"/>
        <v>5.7042359647613674</v>
      </c>
      <c r="E214" s="61" t="s">
        <v>1931</v>
      </c>
      <c r="F214" s="65">
        <v>120.06039278677112</v>
      </c>
      <c r="G214" s="6">
        <v>480</v>
      </c>
      <c r="H214" s="6">
        <v>442</v>
      </c>
      <c r="I214" s="65">
        <v>-1.3512305900134216</v>
      </c>
      <c r="J214" s="6">
        <f>VLOOKUP($D214,Sheet1!$A$5:$C$192,3,TRUE)</f>
        <v>1</v>
      </c>
      <c r="K214" s="42" t="str">
        <f>VLOOKUP($D214,Sheet1!$A$5:$C$192,2,TRUE)</f>
        <v>|(</v>
      </c>
      <c r="L214" s="6">
        <f>FLOOR(VLOOKUP($D214,Sheet1!$D$5:$F$192,3,TRUE),1)</f>
        <v>2</v>
      </c>
      <c r="M214" s="42" t="str">
        <f>VLOOKUP($D214,Sheet1!$D$5:$F$192,2,TRUE)</f>
        <v>|(</v>
      </c>
      <c r="N214" s="23">
        <f>FLOOR(VLOOKUP($D214,Sheet1!$G$5:$I$192,3,TRUE),1)</f>
        <v>3</v>
      </c>
      <c r="O214" s="42" t="str">
        <f>VLOOKUP($D214,Sheet1!$G$5:$I$192,2,TRUE)</f>
        <v>|(</v>
      </c>
      <c r="P214" s="23">
        <v>1</v>
      </c>
      <c r="Q214" s="43" t="str">
        <f>VLOOKUP($D214,Sheet1!$J$5:$L$192,2,TRUE)</f>
        <v>|(</v>
      </c>
      <c r="R214" s="23">
        <f>FLOOR(VLOOKUP($D214,Sheet1!$M$5:$O$192,3,TRUE),1)</f>
        <v>12</v>
      </c>
      <c r="S214" s="42" t="str">
        <f>VLOOKUP($D214,Sheet1!$M$5:$O$192,2,TRUE)</f>
        <v>|(</v>
      </c>
      <c r="T214" s="117">
        <f>IF(ABS(D214-VLOOKUP($D214,Sheet1!$M$5:$T$192,8,TRUE))&lt;10^-10,"SoCA",D214-VLOOKUP($D214,Sheet1!$M$5:$T$192,8,TRUE))</f>
        <v>-5.3566238623833584E-2</v>
      </c>
      <c r="U214" s="109" t="str">
        <f>IF(VLOOKUP($D214,Sheet1!$M$5:$U$192,9,TRUE)=0,"",IF(ABS(D214-VLOOKUP($D214,Sheet1!$M$5:$U$192,9,TRUE))&lt;10^-10,"Alt.",D214-VLOOKUP($D214,Sheet1!$M$5:$U$192,9,TRUE)))</f>
        <v/>
      </c>
      <c r="V214" s="132">
        <f>$D214-Sheet1!$M$3*$R214</f>
        <v>-0.15078580645126394</v>
      </c>
      <c r="Z214" s="6"/>
      <c r="AA214" s="61"/>
    </row>
    <row r="215" spans="1:27" ht="13.5">
      <c r="A215" t="s">
        <v>855</v>
      </c>
      <c r="B215">
        <v>291</v>
      </c>
      <c r="C215">
        <v>292</v>
      </c>
      <c r="D215" s="13">
        <f t="shared" si="6"/>
        <v>5.9390591660800212</v>
      </c>
      <c r="E215" s="61" t="s">
        <v>1931</v>
      </c>
      <c r="F215" s="65">
        <v>170.06507607117922</v>
      </c>
      <c r="G215" s="6">
        <v>754</v>
      </c>
      <c r="H215" s="6">
        <v>702</v>
      </c>
      <c r="I215" s="65">
        <v>-1.3656895100261111</v>
      </c>
      <c r="J215" s="6">
        <f>VLOOKUP($D215,Sheet1!$A$5:$C$192,3,TRUE)</f>
        <v>1</v>
      </c>
      <c r="K215" s="42" t="str">
        <f>VLOOKUP($D215,Sheet1!$A$5:$C$192,2,TRUE)</f>
        <v>|(</v>
      </c>
      <c r="L215" s="6">
        <f>FLOOR(VLOOKUP($D215,Sheet1!$D$5:$F$192,3,TRUE),1)</f>
        <v>2</v>
      </c>
      <c r="M215" s="42" t="str">
        <f>VLOOKUP($D215,Sheet1!$D$5:$F$192,2,TRUE)</f>
        <v>|(</v>
      </c>
      <c r="N215" s="23">
        <f>FLOOR(VLOOKUP($D215,Sheet1!$G$5:$I$192,3,TRUE),1)</f>
        <v>3</v>
      </c>
      <c r="O215" s="42" t="str">
        <f>VLOOKUP($D215,Sheet1!$G$5:$I$192,2,TRUE)</f>
        <v>|(</v>
      </c>
      <c r="P215" s="23">
        <v>1</v>
      </c>
      <c r="Q215" s="43" t="str">
        <f>VLOOKUP($D215,Sheet1!$J$5:$L$192,2,TRUE)</f>
        <v>|(</v>
      </c>
      <c r="R215" s="23">
        <f>FLOOR(VLOOKUP($D215,Sheet1!$M$5:$O$192,3,TRUE),1)</f>
        <v>12</v>
      </c>
      <c r="S215" s="42" t="str">
        <f>VLOOKUP($D215,Sheet1!$M$5:$O$192,2,TRUE)</f>
        <v>.~|..</v>
      </c>
      <c r="T215" s="117">
        <f>IF(ABS(D215-VLOOKUP($D215,Sheet1!$M$5:$T$192,8,TRUE))&lt;10^-10,"SoCA",D215-VLOOKUP($D215,Sheet1!$M$5:$T$192,8,TRUE))</f>
        <v>-4.2923991889676216E-3</v>
      </c>
      <c r="U215" s="109">
        <f>IF(VLOOKUP($D215,Sheet1!$M$5:$U$192,9,TRUE)=0,"",IF(ABS(D215-VLOOKUP($D215,Sheet1!$M$5:$U$192,9,TRUE))&lt;10^-10,"Alt.",D215-VLOOKUP($D215,Sheet1!$M$5:$U$192,9,TRUE)))</f>
        <v>-1.8344566583424537E-2</v>
      </c>
      <c r="V215" s="132">
        <f>$D215-Sheet1!$M$3*$R215</f>
        <v>8.4037394867389814E-2</v>
      </c>
      <c r="Z215" s="6"/>
      <c r="AA215" s="61"/>
    </row>
    <row r="216" spans="1:27" ht="13.5">
      <c r="A216" s="6" t="s">
        <v>1898</v>
      </c>
      <c r="B216">
        <v>51380224</v>
      </c>
      <c r="C216">
        <v>51549777</v>
      </c>
      <c r="D216" s="13">
        <f t="shared" si="6"/>
        <v>5.7036080709522379</v>
      </c>
      <c r="E216" s="61" t="s">
        <v>1931</v>
      </c>
      <c r="F216" s="65">
        <v>228.61255471044944</v>
      </c>
      <c r="G216" s="59">
        <v>1735</v>
      </c>
      <c r="H216" s="63">
        <v>1000103</v>
      </c>
      <c r="I216" s="65">
        <v>11.648808071695948</v>
      </c>
      <c r="J216" s="6">
        <f>VLOOKUP($D216,Sheet1!$A$5:$C$192,3,TRUE)</f>
        <v>1</v>
      </c>
      <c r="K216" s="42" t="str">
        <f>VLOOKUP($D216,Sheet1!$A$5:$C$192,2,TRUE)</f>
        <v>|(</v>
      </c>
      <c r="L216" s="6">
        <f>FLOOR(VLOOKUP($D216,Sheet1!$D$5:$F$192,3,TRUE),1)</f>
        <v>2</v>
      </c>
      <c r="M216" s="42" t="str">
        <f>VLOOKUP($D216,Sheet1!$D$5:$F$192,2,TRUE)</f>
        <v>|(</v>
      </c>
      <c r="N216" s="23">
        <f>FLOOR(VLOOKUP($D216,Sheet1!$G$5:$I$192,3,TRUE),1)</f>
        <v>3</v>
      </c>
      <c r="O216" s="42" t="str">
        <f>VLOOKUP($D216,Sheet1!$G$5:$I$192,2,TRUE)</f>
        <v>|(</v>
      </c>
      <c r="P216" s="23">
        <v>1</v>
      </c>
      <c r="Q216" s="43" t="str">
        <f>VLOOKUP($D216,Sheet1!$J$5:$L$192,2,TRUE)</f>
        <v>|(</v>
      </c>
      <c r="R216" s="23">
        <f>FLOOR(VLOOKUP($D216,Sheet1!$M$5:$O$192,3,TRUE),1)</f>
        <v>12</v>
      </c>
      <c r="S216" s="42" t="str">
        <f>VLOOKUP($D216,Sheet1!$M$5:$O$192,2,TRUE)</f>
        <v>|(</v>
      </c>
      <c r="T216" s="117">
        <f>IF(ABS(D216-VLOOKUP($D216,Sheet1!$M$5:$T$192,8,TRUE))&lt;10^-10,"SoCA",D216-VLOOKUP($D216,Sheet1!$M$5:$T$192,8,TRUE))</f>
        <v>-5.4194132432963116E-2</v>
      </c>
      <c r="U216" s="109" t="str">
        <f>IF(VLOOKUP($D216,Sheet1!$M$5:$U$192,9,TRUE)=0,"",IF(ABS(D216-VLOOKUP($D216,Sheet1!$M$5:$U$192,9,TRUE))&lt;10^-10,"Alt.",D216-VLOOKUP($D216,Sheet1!$M$5:$U$192,9,TRUE)))</f>
        <v/>
      </c>
      <c r="V216" s="132">
        <f>$D216-Sheet1!$M$3*$R216</f>
        <v>-0.15141370026039347</v>
      </c>
      <c r="Z216" s="6"/>
      <c r="AA216" s="61"/>
    </row>
    <row r="217" spans="1:27" ht="13.5">
      <c r="A217" t="s">
        <v>1288</v>
      </c>
      <c r="B217">
        <v>640000</v>
      </c>
      <c r="C217">
        <v>642249</v>
      </c>
      <c r="D217" s="13">
        <f t="shared" si="6"/>
        <v>6.0730004374817286</v>
      </c>
      <c r="E217" s="61" t="s">
        <v>1931</v>
      </c>
      <c r="F217" s="65">
        <v>1443.7314887332182</v>
      </c>
      <c r="G217" s="6">
        <v>1196</v>
      </c>
      <c r="H217" s="6">
        <v>1137</v>
      </c>
      <c r="I217" s="65">
        <v>5.6260632379190669</v>
      </c>
      <c r="J217" s="6">
        <f>VLOOKUP($D217,Sheet1!$A$5:$C$192,3,TRUE)</f>
        <v>1</v>
      </c>
      <c r="K217" s="42" t="str">
        <f>VLOOKUP($D217,Sheet1!$A$5:$C$192,2,TRUE)</f>
        <v>|(</v>
      </c>
      <c r="L217" s="6">
        <f>FLOOR(VLOOKUP($D217,Sheet1!$D$5:$F$192,3,TRUE),1)</f>
        <v>2</v>
      </c>
      <c r="M217" s="42" t="str">
        <f>VLOOKUP($D217,Sheet1!$D$5:$F$192,2,TRUE)</f>
        <v>|(</v>
      </c>
      <c r="N217" s="23">
        <f>FLOOR(VLOOKUP($D217,Sheet1!$G$5:$I$192,3,TRUE),1)</f>
        <v>3</v>
      </c>
      <c r="O217" s="42" t="str">
        <f>VLOOKUP($D217,Sheet1!$G$5:$I$192,2,TRUE)</f>
        <v>|(</v>
      </c>
      <c r="P217" s="23">
        <v>1</v>
      </c>
      <c r="Q217" s="43" t="str">
        <f>VLOOKUP($D217,Sheet1!$J$5:$L$192,2,TRUE)</f>
        <v>|(</v>
      </c>
      <c r="R217" s="23">
        <f>FLOOR(VLOOKUP($D217,Sheet1!$M$5:$O$192,3,TRUE),1)</f>
        <v>12</v>
      </c>
      <c r="S217" s="42" t="str">
        <f>VLOOKUP($D217,Sheet1!$M$5:$O$192,2,TRUE)</f>
        <v>.~|..</v>
      </c>
      <c r="T217" s="117">
        <f>IF(ABS(D217-VLOOKUP($D217,Sheet1!$M$5:$T$192,8,TRUE))&lt;10^-10,"SoCA",D217-VLOOKUP($D217,Sheet1!$M$5:$T$192,8,TRUE))</f>
        <v>0.1296488722127398</v>
      </c>
      <c r="U217" s="109">
        <f>IF(VLOOKUP($D217,Sheet1!$M$5:$U$192,9,TRUE)=0,"",IF(ABS(D217-VLOOKUP($D217,Sheet1!$M$5:$U$192,9,TRUE))&lt;10^-10,"Alt.",D217-VLOOKUP($D217,Sheet1!$M$5:$U$192,9,TRUE)))</f>
        <v>0.11559670481828288</v>
      </c>
      <c r="V217" s="132">
        <f>$D217-Sheet1!$M$3*$R217</f>
        <v>0.21797866626909723</v>
      </c>
      <c r="Z217" s="6"/>
      <c r="AA217" s="61"/>
    </row>
    <row r="218" spans="1:27" ht="13.5">
      <c r="A218" t="s">
        <v>884</v>
      </c>
      <c r="B218">
        <v>5606</v>
      </c>
      <c r="C218">
        <v>5625</v>
      </c>
      <c r="D218" s="13">
        <f t="shared" si="6"/>
        <v>5.8576223511212717</v>
      </c>
      <c r="E218" s="61" t="s">
        <v>1931</v>
      </c>
      <c r="F218" s="65">
        <v>4516.9561691071194</v>
      </c>
      <c r="G218" s="6">
        <v>794</v>
      </c>
      <c r="H218" s="6">
        <v>731</v>
      </c>
      <c r="I218" s="65">
        <v>1.6393248513613692</v>
      </c>
      <c r="J218" s="6">
        <f>VLOOKUP($D218,Sheet1!$A$5:$C$192,3,TRUE)</f>
        <v>1</v>
      </c>
      <c r="K218" s="42" t="str">
        <f>VLOOKUP($D218,Sheet1!$A$5:$C$192,2,TRUE)</f>
        <v>|(</v>
      </c>
      <c r="L218" s="6">
        <f>FLOOR(VLOOKUP($D218,Sheet1!$D$5:$F$192,3,TRUE),1)</f>
        <v>2</v>
      </c>
      <c r="M218" s="42" t="str">
        <f>VLOOKUP($D218,Sheet1!$D$5:$F$192,2,TRUE)</f>
        <v>|(</v>
      </c>
      <c r="N218" s="23">
        <f>FLOOR(VLOOKUP($D218,Sheet1!$G$5:$I$192,3,TRUE),1)</f>
        <v>3</v>
      </c>
      <c r="O218" s="42" t="str">
        <f>VLOOKUP($D218,Sheet1!$G$5:$I$192,2,TRUE)</f>
        <v>|(</v>
      </c>
      <c r="P218" s="23">
        <v>1</v>
      </c>
      <c r="Q218" s="43" t="str">
        <f>VLOOKUP($D218,Sheet1!$J$5:$L$192,2,TRUE)</f>
        <v>|(</v>
      </c>
      <c r="R218" s="23">
        <f>FLOOR(VLOOKUP($D218,Sheet1!$M$5:$O$192,3,TRUE),1)</f>
        <v>12</v>
      </c>
      <c r="S218" s="42" t="str">
        <f>VLOOKUP($D218,Sheet1!$M$5:$O$192,2,TRUE)</f>
        <v>|(</v>
      </c>
      <c r="T218" s="117">
        <f>IF(ABS(D218-VLOOKUP($D218,Sheet1!$M$5:$T$192,8,TRUE))&lt;10^-10,"SoCA",D218-VLOOKUP($D218,Sheet1!$M$5:$T$192,8,TRUE))</f>
        <v>9.982014773607073E-2</v>
      </c>
      <c r="U218" s="109" t="str">
        <f>IF(VLOOKUP($D218,Sheet1!$M$5:$U$192,9,TRUE)=0,"",IF(ABS(D218-VLOOKUP($D218,Sheet1!$M$5:$U$192,9,TRUE))&lt;10^-10,"Alt.",D218-VLOOKUP($D218,Sheet1!$M$5:$U$192,9,TRUE)))</f>
        <v/>
      </c>
      <c r="V218" s="132">
        <f>$D218-Sheet1!$M$3*$R218</f>
        <v>2.6005799086403769E-3</v>
      </c>
      <c r="Z218" s="6"/>
      <c r="AA218" s="61"/>
    </row>
    <row r="219" spans="1:27" ht="13.5">
      <c r="A219" t="s">
        <v>1099</v>
      </c>
      <c r="B219">
        <v>2027648</v>
      </c>
      <c r="C219">
        <v>2034801</v>
      </c>
      <c r="D219" s="13">
        <f t="shared" si="6"/>
        <v>6.0965835880994987</v>
      </c>
      <c r="E219" s="61" t="s">
        <v>1931</v>
      </c>
      <c r="F219" s="65">
        <v>35325.593273275736</v>
      </c>
      <c r="G219" s="6">
        <v>1010</v>
      </c>
      <c r="H219" s="6">
        <v>948</v>
      </c>
      <c r="I219" s="65">
        <v>3.624611137417435</v>
      </c>
      <c r="J219" s="6">
        <f>VLOOKUP($D219,Sheet1!$A$5:$C$192,3,TRUE)</f>
        <v>1</v>
      </c>
      <c r="K219" s="42" t="str">
        <f>VLOOKUP($D219,Sheet1!$A$5:$C$192,2,TRUE)</f>
        <v>|(</v>
      </c>
      <c r="L219" s="6">
        <f>FLOOR(VLOOKUP($D219,Sheet1!$D$5:$F$192,3,TRUE),1)</f>
        <v>2</v>
      </c>
      <c r="M219" s="42" t="str">
        <f>VLOOKUP($D219,Sheet1!$D$5:$F$192,2,TRUE)</f>
        <v>|(</v>
      </c>
      <c r="N219" s="23">
        <f>FLOOR(VLOOKUP($D219,Sheet1!$G$5:$I$192,3,TRUE),1)</f>
        <v>3</v>
      </c>
      <c r="O219" s="42" t="str">
        <f>VLOOKUP($D219,Sheet1!$G$5:$I$192,2,TRUE)</f>
        <v>|(</v>
      </c>
      <c r="P219" s="23">
        <v>1</v>
      </c>
      <c r="Q219" s="43" t="str">
        <f>VLOOKUP($D219,Sheet1!$J$5:$L$192,2,TRUE)</f>
        <v>|(</v>
      </c>
      <c r="R219" s="23">
        <f>FLOOR(VLOOKUP($D219,Sheet1!$M$5:$O$192,3,TRUE),1)</f>
        <v>12</v>
      </c>
      <c r="S219" s="42" t="str">
        <f>VLOOKUP($D219,Sheet1!$M$5:$O$192,2,TRUE)</f>
        <v>.~|..</v>
      </c>
      <c r="T219" s="117">
        <f>IF(ABS(D219-VLOOKUP($D219,Sheet1!$M$5:$T$192,8,TRUE))&lt;10^-10,"SoCA",D219-VLOOKUP($D219,Sheet1!$M$5:$T$192,8,TRUE))</f>
        <v>0.15323202283050996</v>
      </c>
      <c r="U219" s="109">
        <f>IF(VLOOKUP($D219,Sheet1!$M$5:$U$192,9,TRUE)=0,"",IF(ABS(D219-VLOOKUP($D219,Sheet1!$M$5:$U$192,9,TRUE))&lt;10^-10,"Alt.",D219-VLOOKUP($D219,Sheet1!$M$5:$U$192,9,TRUE)))</f>
        <v>0.13917985543605305</v>
      </c>
      <c r="V219" s="132">
        <f>$D219-Sheet1!$M$3*$R219</f>
        <v>0.2415618168868674</v>
      </c>
      <c r="Z219" s="6"/>
      <c r="AA219" s="61"/>
    </row>
    <row r="220" spans="1:27" ht="13.5">
      <c r="A220" t="s">
        <v>992</v>
      </c>
      <c r="B220">
        <v>50198176</v>
      </c>
      <c r="C220">
        <v>50362695</v>
      </c>
      <c r="D220" s="13">
        <f t="shared" si="6"/>
        <v>5.6646515846213532</v>
      </c>
      <c r="E220" s="61" t="s">
        <v>1931</v>
      </c>
      <c r="F220" s="65">
        <v>456395.30686729011</v>
      </c>
      <c r="G220" s="6">
        <v>905</v>
      </c>
      <c r="H220" s="6">
        <v>840</v>
      </c>
      <c r="I220" s="65">
        <v>2.6512067644855475</v>
      </c>
      <c r="J220" s="6">
        <f>VLOOKUP($D220,Sheet1!$A$5:$C$192,3,TRUE)</f>
        <v>1</v>
      </c>
      <c r="K220" s="42" t="str">
        <f>VLOOKUP($D220,Sheet1!$A$5:$C$192,2,TRUE)</f>
        <v>|(</v>
      </c>
      <c r="L220" s="6">
        <f>FLOOR(VLOOKUP($D220,Sheet1!$D$5:$F$192,3,TRUE),1)</f>
        <v>2</v>
      </c>
      <c r="M220" s="42" t="str">
        <f>VLOOKUP($D220,Sheet1!$D$5:$F$192,2,TRUE)</f>
        <v>|(</v>
      </c>
      <c r="N220" s="23">
        <f>FLOOR(VLOOKUP($D220,Sheet1!$G$5:$I$192,3,TRUE),1)</f>
        <v>3</v>
      </c>
      <c r="O220" s="42" t="str">
        <f>VLOOKUP($D220,Sheet1!$G$5:$I$192,2,TRUE)</f>
        <v>|(</v>
      </c>
      <c r="P220" s="23">
        <v>1</v>
      </c>
      <c r="Q220" s="43" t="str">
        <f>VLOOKUP($D220,Sheet1!$J$5:$L$192,2,TRUE)</f>
        <v>|(</v>
      </c>
      <c r="R220" s="23">
        <f>FLOOR(VLOOKUP($D220,Sheet1!$M$5:$O$192,3,TRUE),1)</f>
        <v>12</v>
      </c>
      <c r="S220" s="42" t="str">
        <f>VLOOKUP($D220,Sheet1!$M$5:$O$192,2,TRUE)</f>
        <v>|(</v>
      </c>
      <c r="T220" s="117">
        <f>IF(ABS(D220-VLOOKUP($D220,Sheet1!$M$5:$T$192,8,TRUE))&lt;10^-10,"SoCA",D220-VLOOKUP($D220,Sheet1!$M$5:$T$192,8,TRUE))</f>
        <v>-9.3150618763847781E-2</v>
      </c>
      <c r="U220" s="109" t="str">
        <f>IF(VLOOKUP($D220,Sheet1!$M$5:$U$192,9,TRUE)=0,"",IF(ABS(D220-VLOOKUP($D220,Sheet1!$M$5:$U$192,9,TRUE))&lt;10^-10,"Alt.",D220-VLOOKUP($D220,Sheet1!$M$5:$U$192,9,TRUE)))</f>
        <v/>
      </c>
      <c r="V220" s="132">
        <f>$D220-Sheet1!$M$3*$R220</f>
        <v>-0.19037018659127813</v>
      </c>
      <c r="Z220" s="6"/>
      <c r="AA220" s="61"/>
    </row>
    <row r="221" spans="1:27" ht="13.5">
      <c r="A221" t="s">
        <v>1189</v>
      </c>
      <c r="B221">
        <v>252683360</v>
      </c>
      <c r="C221">
        <v>253548873</v>
      </c>
      <c r="D221" s="13">
        <f t="shared" si="6"/>
        <v>5.9198404915562666</v>
      </c>
      <c r="E221" s="61" t="s">
        <v>1931</v>
      </c>
      <c r="F221" s="65">
        <v>1520592.5826004951</v>
      </c>
      <c r="G221" s="6">
        <v>1094</v>
      </c>
      <c r="H221" s="6">
        <v>1038</v>
      </c>
      <c r="I221" s="65">
        <v>4.6354938537817603</v>
      </c>
      <c r="J221" s="6">
        <f>VLOOKUP($D221,Sheet1!$A$5:$C$192,3,TRUE)</f>
        <v>1</v>
      </c>
      <c r="K221" s="42" t="str">
        <f>VLOOKUP($D221,Sheet1!$A$5:$C$192,2,TRUE)</f>
        <v>|(</v>
      </c>
      <c r="L221" s="6">
        <f>FLOOR(VLOOKUP($D221,Sheet1!$D$5:$F$192,3,TRUE),1)</f>
        <v>2</v>
      </c>
      <c r="M221" s="42" t="str">
        <f>VLOOKUP($D221,Sheet1!$D$5:$F$192,2,TRUE)</f>
        <v>|(</v>
      </c>
      <c r="N221" s="23">
        <f>FLOOR(VLOOKUP($D221,Sheet1!$G$5:$I$192,3,TRUE),1)</f>
        <v>3</v>
      </c>
      <c r="O221" s="42" t="str">
        <f>VLOOKUP($D221,Sheet1!$G$5:$I$192,2,TRUE)</f>
        <v>|(</v>
      </c>
      <c r="P221" s="23">
        <v>1</v>
      </c>
      <c r="Q221" s="43" t="str">
        <f>VLOOKUP($D221,Sheet1!$J$5:$L$192,2,TRUE)</f>
        <v>|(</v>
      </c>
      <c r="R221" s="23">
        <f>FLOOR(VLOOKUP($D221,Sheet1!$M$5:$O$192,3,TRUE),1)</f>
        <v>12</v>
      </c>
      <c r="S221" s="42" t="str">
        <f>VLOOKUP($D221,Sheet1!$M$5:$O$192,2,TRUE)</f>
        <v>|(</v>
      </c>
      <c r="T221" s="117">
        <f>IF(ABS(D221-VLOOKUP($D221,Sheet1!$M$5:$T$192,8,TRUE))&lt;10^-10,"SoCA",D221-VLOOKUP($D221,Sheet1!$M$5:$T$192,8,TRUE))</f>
        <v>0.16203828817106558</v>
      </c>
      <c r="U221" s="109" t="str">
        <f>IF(VLOOKUP($D221,Sheet1!$M$5:$U$192,9,TRUE)=0,"",IF(ABS(D221-VLOOKUP($D221,Sheet1!$M$5:$U$192,9,TRUE))&lt;10^-10,"Alt.",D221-VLOOKUP($D221,Sheet1!$M$5:$U$192,9,TRUE)))</f>
        <v/>
      </c>
      <c r="V221" s="132">
        <f>$D221-Sheet1!$M$3*$R221</f>
        <v>6.4818720343635228E-2</v>
      </c>
      <c r="Z221" s="6"/>
      <c r="AA221" s="61"/>
    </row>
    <row r="222" spans="1:27" ht="13.5">
      <c r="A222" s="38" t="s">
        <v>314</v>
      </c>
      <c r="B222" s="38">
        <f>3^7*5</f>
        <v>10935</v>
      </c>
      <c r="C222" s="38">
        <f>2^5*7^3</f>
        <v>10976</v>
      </c>
      <c r="D222" s="13">
        <f t="shared" si="6"/>
        <v>6.478999484827944</v>
      </c>
      <c r="E222" s="61">
        <v>7</v>
      </c>
      <c r="F222" s="65">
        <v>39.131494090683731</v>
      </c>
      <c r="G222" s="6">
        <v>142</v>
      </c>
      <c r="H222" s="6">
        <v>144</v>
      </c>
      <c r="I222" s="65">
        <v>-7.3989356025610995</v>
      </c>
      <c r="J222" s="6">
        <f>VLOOKUP($D222,Sheet1!$A$5:$C$192,3,TRUE)</f>
        <v>1</v>
      </c>
      <c r="K222" s="42" t="str">
        <f>VLOOKUP($D222,Sheet1!$A$5:$C$192,2,TRUE)</f>
        <v>|(</v>
      </c>
      <c r="L222" s="6">
        <f>FLOOR(VLOOKUP($D222,Sheet1!$D$5:$F$192,3,TRUE),1)</f>
        <v>2</v>
      </c>
      <c r="M222" s="42" t="str">
        <f>VLOOKUP($D222,Sheet1!$D$5:$F$192,2,TRUE)</f>
        <v>|(</v>
      </c>
      <c r="N222" s="23">
        <f>FLOOR(VLOOKUP($D222,Sheet1!$G$5:$I$192,3,TRUE),1)</f>
        <v>3</v>
      </c>
      <c r="O222" s="42" t="str">
        <f>VLOOKUP($D222,Sheet1!$G$5:$I$192,2,TRUE)</f>
        <v>|(</v>
      </c>
      <c r="P222" s="23">
        <v>1</v>
      </c>
      <c r="Q222" s="45" t="str">
        <f>VLOOKUP($D222,Sheet1!$J$5:$L$192,2,TRUE)</f>
        <v>|('</v>
      </c>
      <c r="R222" s="38">
        <f>FLOOR(VLOOKUP($D222,Sheet1!$M$5:$O$192,3,TRUE),1)</f>
        <v>13</v>
      </c>
      <c r="S222" s="45" t="str">
        <f>VLOOKUP($D222,Sheet1!$M$5:$O$192,2,TRUE)</f>
        <v>|('</v>
      </c>
      <c r="T222" s="128">
        <f>IF(ABS(D222-VLOOKUP($D222,Sheet1!$M$5:$T$192,8,TRUE))&lt;10^-10,"SoCA",D222-VLOOKUP($D222,Sheet1!$M$5:$T$192,8,TRUE))</f>
        <v>0.29848111548791856</v>
      </c>
      <c r="U222" s="128">
        <f>IF(VLOOKUP($D222,Sheet1!$M$5:$U$192,9,TRUE)=0,"",IF(ABS(D222-VLOOKUP($D222,Sheet1!$M$5:$U$192,9,TRUE))&lt;10^-10,"Alt.",D222-VLOOKUP($D222,Sheet1!$M$5:$U$192,9,TRUE)))</f>
        <v>0.32544141069035248</v>
      </c>
      <c r="V222" s="133">
        <f>$D222-Sheet1!$M$3*$R222</f>
        <v>0.13605923268092646</v>
      </c>
      <c r="Z222" s="6"/>
      <c r="AA222" s="61"/>
    </row>
    <row r="223" spans="1:27" ht="13.5">
      <c r="A223" s="6" t="s">
        <v>1150</v>
      </c>
      <c r="B223" s="6">
        <f>3^7*11*19</f>
        <v>457083</v>
      </c>
      <c r="C223" s="6">
        <f>2^16*7</f>
        <v>458752</v>
      </c>
      <c r="D223" s="13">
        <f t="shared" si="6"/>
        <v>6.3099419143538329</v>
      </c>
      <c r="E223" s="61">
        <v>19</v>
      </c>
      <c r="F223" s="65">
        <v>47.390837765547758</v>
      </c>
      <c r="G223" s="6">
        <v>922</v>
      </c>
      <c r="H223" s="6">
        <v>999</v>
      </c>
      <c r="I223" s="65">
        <v>-7.3885261120367467</v>
      </c>
      <c r="J223" s="6">
        <f>VLOOKUP($D223,Sheet1!$A$5:$C$192,3,TRUE)</f>
        <v>1</v>
      </c>
      <c r="K223" s="42" t="str">
        <f>VLOOKUP($D223,Sheet1!$A$5:$C$192,2,TRUE)</f>
        <v>|(</v>
      </c>
      <c r="L223" s="6">
        <f>FLOOR(VLOOKUP($D223,Sheet1!$D$5:$F$192,3,TRUE),1)</f>
        <v>2</v>
      </c>
      <c r="M223" s="42" t="str">
        <f>VLOOKUP($D223,Sheet1!$D$5:$F$192,2,TRUE)</f>
        <v>|(</v>
      </c>
      <c r="N223" s="23">
        <f>FLOOR(VLOOKUP($D223,Sheet1!$G$5:$I$192,3,TRUE),1)</f>
        <v>3</v>
      </c>
      <c r="O223" s="42" t="str">
        <f>VLOOKUP($D223,Sheet1!$G$5:$I$192,2,TRUE)</f>
        <v>|(</v>
      </c>
      <c r="P223" s="23">
        <v>1</v>
      </c>
      <c r="Q223" s="43" t="str">
        <f>VLOOKUP($D223,Sheet1!$J$5:$L$192,2,TRUE)</f>
        <v>|('</v>
      </c>
      <c r="R223" s="23">
        <f>FLOOR(VLOOKUP($D223,Sheet1!$M$5:$O$192,3,TRUE),1)</f>
        <v>13</v>
      </c>
      <c r="S223" s="42" t="str">
        <f>VLOOKUP($D223,Sheet1!$M$5:$O$192,2,TRUE)</f>
        <v>|('</v>
      </c>
      <c r="T223" s="117">
        <f>IF(ABS(D223-VLOOKUP($D223,Sheet1!$M$5:$T$192,8,TRUE))&lt;10^-10,"SoCA",D223-VLOOKUP($D223,Sheet1!$M$5:$T$192,8,TRUE))</f>
        <v>0.12942354501380748</v>
      </c>
      <c r="U223" s="109">
        <f>IF(VLOOKUP($D223,Sheet1!$M$5:$U$192,9,TRUE)=0,"",IF(ABS(D223-VLOOKUP($D223,Sheet1!$M$5:$U$192,9,TRUE))&lt;10^-10,"Alt.",D223-VLOOKUP($D223,Sheet1!$M$5:$U$192,9,TRUE)))</f>
        <v>0.15638384021624141</v>
      </c>
      <c r="V223" s="134">
        <f>$D223-Sheet1!$M$3*$R223</f>
        <v>-3.2998337793184618E-2</v>
      </c>
      <c r="Z223" s="6"/>
      <c r="AA223" s="61"/>
    </row>
    <row r="224" spans="1:27" ht="13.5">
      <c r="A224" s="23" t="s">
        <v>1552</v>
      </c>
      <c r="B224" s="23">
        <f>3^8*7^2*13</f>
        <v>4179357</v>
      </c>
      <c r="C224" s="23">
        <f>2^22</f>
        <v>4194304</v>
      </c>
      <c r="D224" s="13">
        <f t="shared" si="6"/>
        <v>6.1805183693401284</v>
      </c>
      <c r="E224" s="61">
        <v>13</v>
      </c>
      <c r="F224" s="65">
        <v>48.680778351068582</v>
      </c>
      <c r="G224" s="6">
        <v>1459</v>
      </c>
      <c r="H224" s="6">
        <v>1401</v>
      </c>
      <c r="I224" s="65">
        <v>-8.3805570328546075</v>
      </c>
      <c r="J224" s="6">
        <f>VLOOKUP($D224,Sheet1!$A$5:$C$192,3,TRUE)</f>
        <v>1</v>
      </c>
      <c r="K224" s="42" t="str">
        <f>VLOOKUP($D224,Sheet1!$A$5:$C$192,2,TRUE)</f>
        <v>|(</v>
      </c>
      <c r="L224" s="6">
        <f>FLOOR(VLOOKUP($D224,Sheet1!$D$5:$F$192,3,TRUE),1)</f>
        <v>2</v>
      </c>
      <c r="M224" s="42" t="str">
        <f>VLOOKUP($D224,Sheet1!$D$5:$F$192,2,TRUE)</f>
        <v>|(</v>
      </c>
      <c r="N224" s="23">
        <f>FLOOR(VLOOKUP($D224,Sheet1!$G$5:$I$192,3,TRUE),1)</f>
        <v>3</v>
      </c>
      <c r="O224" s="42" t="str">
        <f>VLOOKUP($D224,Sheet1!$G$5:$I$192,2,TRUE)</f>
        <v>|(</v>
      </c>
      <c r="P224" s="23">
        <v>1</v>
      </c>
      <c r="Q224" s="43" t="str">
        <f>VLOOKUP($D224,Sheet1!$J$5:$L$192,2,TRUE)</f>
        <v>|('</v>
      </c>
      <c r="R224" s="23">
        <f>FLOOR(VLOOKUP($D224,Sheet1!$M$5:$O$192,3,TRUE),1)</f>
        <v>13</v>
      </c>
      <c r="S224" s="43" t="str">
        <f>VLOOKUP($D224,Sheet1!$M$5:$O$192,2,TRUE)</f>
        <v>|('</v>
      </c>
      <c r="T224" s="124" t="str">
        <f>IF(ABS(D224-VLOOKUP($D224,Sheet1!$M$5:$T$192,8,TRUE))&lt;10^-10,"SoCA",D224-VLOOKUP($D224,Sheet1!$M$5:$T$192,8,TRUE))</f>
        <v>SoCA</v>
      </c>
      <c r="U224" s="117">
        <f>IF(VLOOKUP($D224,Sheet1!$M$5:$U$192,9,TRUE)=0,"",IF(ABS(D224-VLOOKUP($D224,Sheet1!$M$5:$U$192,9,TRUE))&lt;10^-10,"Alt.",D224-VLOOKUP($D224,Sheet1!$M$5:$U$192,9,TRUE)))</f>
        <v>2.6960295202536955E-2</v>
      </c>
      <c r="V224" s="132">
        <f>$D224-Sheet1!$M$3*$R224</f>
        <v>-0.16242188280688907</v>
      </c>
      <c r="Z224" s="6"/>
      <c r="AA224" s="61"/>
    </row>
    <row r="225" spans="1:27" ht="13.5">
      <c r="A225" t="s">
        <v>1382</v>
      </c>
      <c r="B225">
        <v>272384</v>
      </c>
      <c r="C225">
        <v>273375</v>
      </c>
      <c r="D225" s="13">
        <f t="shared" si="6"/>
        <v>6.2872250507886882</v>
      </c>
      <c r="E225" s="61">
        <v>19</v>
      </c>
      <c r="F225" s="65">
        <v>51.54660604250531</v>
      </c>
      <c r="G225" s="6">
        <v>1295</v>
      </c>
      <c r="H225" s="6">
        <v>1231</v>
      </c>
      <c r="I225" s="65">
        <v>6.6128726480149993</v>
      </c>
      <c r="J225" s="6">
        <f>VLOOKUP($D225,Sheet1!$A$5:$C$192,3,TRUE)</f>
        <v>1</v>
      </c>
      <c r="K225" s="42" t="str">
        <f>VLOOKUP($D225,Sheet1!$A$5:$C$192,2,TRUE)</f>
        <v>|(</v>
      </c>
      <c r="L225" s="6">
        <f>FLOOR(VLOOKUP($D225,Sheet1!$D$5:$F$192,3,TRUE),1)</f>
        <v>2</v>
      </c>
      <c r="M225" s="42" t="str">
        <f>VLOOKUP($D225,Sheet1!$D$5:$F$192,2,TRUE)</f>
        <v>|(</v>
      </c>
      <c r="N225" s="23">
        <f>FLOOR(VLOOKUP($D225,Sheet1!$G$5:$I$192,3,TRUE),1)</f>
        <v>3</v>
      </c>
      <c r="O225" s="42" t="str">
        <f>VLOOKUP($D225,Sheet1!$G$5:$I$192,2,TRUE)</f>
        <v>|(</v>
      </c>
      <c r="P225" s="23">
        <v>1</v>
      </c>
      <c r="Q225" s="43" t="str">
        <f>VLOOKUP($D225,Sheet1!$J$5:$L$192,2,TRUE)</f>
        <v>|('</v>
      </c>
      <c r="R225" s="23">
        <f>FLOOR(VLOOKUP($D225,Sheet1!$M$5:$O$192,3,TRUE),1)</f>
        <v>13</v>
      </c>
      <c r="S225" s="42" t="str">
        <f>VLOOKUP($D225,Sheet1!$M$5:$O$192,2,TRUE)</f>
        <v>|('</v>
      </c>
      <c r="T225" s="117">
        <f>IF(ABS(D225-VLOOKUP($D225,Sheet1!$M$5:$T$192,8,TRUE))&lt;10^-10,"SoCA",D225-VLOOKUP($D225,Sheet1!$M$5:$T$192,8,TRUE))</f>
        <v>0.1067066814486628</v>
      </c>
      <c r="U225" s="109">
        <f>IF(VLOOKUP($D225,Sheet1!$M$5:$U$192,9,TRUE)=0,"",IF(ABS(D225-VLOOKUP($D225,Sheet1!$M$5:$U$192,9,TRUE))&lt;10^-10,"Alt.",D225-VLOOKUP($D225,Sheet1!$M$5:$U$192,9,TRUE)))</f>
        <v>0.13366697665109672</v>
      </c>
      <c r="V225" s="132">
        <f>$D225-Sheet1!$M$3*$R225</f>
        <v>-5.5715201358329303E-2</v>
      </c>
      <c r="Z225" s="6"/>
      <c r="AA225" s="61"/>
    </row>
    <row r="226" spans="1:27" ht="13.5">
      <c r="A226" t="s">
        <v>637</v>
      </c>
      <c r="B226">
        <v>279</v>
      </c>
      <c r="C226">
        <v>280</v>
      </c>
      <c r="D226" s="13">
        <f t="shared" si="6"/>
        <v>6.194046138934528</v>
      </c>
      <c r="E226" s="61">
        <v>31</v>
      </c>
      <c r="F226" s="65">
        <v>51.696842768263998</v>
      </c>
      <c r="G226" s="6">
        <v>533</v>
      </c>
      <c r="H226" s="6">
        <v>482</v>
      </c>
      <c r="I226" s="65">
        <v>-2.3813899869128825</v>
      </c>
      <c r="J226" s="6">
        <f>VLOOKUP($D226,Sheet1!$A$5:$C$192,3,TRUE)</f>
        <v>1</v>
      </c>
      <c r="K226" s="42" t="str">
        <f>VLOOKUP($D226,Sheet1!$A$5:$C$192,2,TRUE)</f>
        <v>|(</v>
      </c>
      <c r="L226" s="6">
        <f>FLOOR(VLOOKUP($D226,Sheet1!$D$5:$F$192,3,TRUE),1)</f>
        <v>2</v>
      </c>
      <c r="M226" s="42" t="str">
        <f>VLOOKUP($D226,Sheet1!$D$5:$F$192,2,TRUE)</f>
        <v>|(</v>
      </c>
      <c r="N226" s="23">
        <f>FLOOR(VLOOKUP($D226,Sheet1!$G$5:$I$192,3,TRUE),1)</f>
        <v>3</v>
      </c>
      <c r="O226" s="42" t="str">
        <f>VLOOKUP($D226,Sheet1!$G$5:$I$192,2,TRUE)</f>
        <v>|(</v>
      </c>
      <c r="P226" s="23">
        <v>1</v>
      </c>
      <c r="Q226" s="43" t="str">
        <f>VLOOKUP($D226,Sheet1!$J$5:$L$192,2,TRUE)</f>
        <v>|('</v>
      </c>
      <c r="R226" s="23">
        <f>FLOOR(VLOOKUP($D226,Sheet1!$M$5:$O$192,3,TRUE),1)</f>
        <v>13</v>
      </c>
      <c r="S226" s="42" t="str">
        <f>VLOOKUP($D226,Sheet1!$M$5:$O$192,2,TRUE)</f>
        <v>|('</v>
      </c>
      <c r="T226" s="117">
        <f>IF(ABS(D226-VLOOKUP($D226,Sheet1!$M$5:$T$192,8,TRUE))&lt;10^-10,"SoCA",D226-VLOOKUP($D226,Sheet1!$M$5:$T$192,8,TRUE))</f>
        <v>1.3527769594502637E-2</v>
      </c>
      <c r="U226" s="109">
        <f>IF(VLOOKUP($D226,Sheet1!$M$5:$U$192,9,TRUE)=0,"",IF(ABS(D226-VLOOKUP($D226,Sheet1!$M$5:$U$192,9,TRUE))&lt;10^-10,"Alt.",D226-VLOOKUP($D226,Sheet1!$M$5:$U$192,9,TRUE)))</f>
        <v>4.0488064796936563E-2</v>
      </c>
      <c r="V226" s="132">
        <f>$D226-Sheet1!$M$3*$R226</f>
        <v>-0.14889411321248947</v>
      </c>
      <c r="Z226" s="6"/>
      <c r="AA226" s="61"/>
    </row>
    <row r="227" spans="1:27" ht="13.5">
      <c r="A227" t="s">
        <v>543</v>
      </c>
      <c r="B227">
        <v>1856</v>
      </c>
      <c r="C227">
        <v>1863</v>
      </c>
      <c r="D227" s="13">
        <f t="shared" si="6"/>
        <v>6.51715657687852</v>
      </c>
      <c r="E227" s="61">
        <v>29</v>
      </c>
      <c r="F227" s="65">
        <v>52.309773627692245</v>
      </c>
      <c r="G227" s="6">
        <v>423</v>
      </c>
      <c r="H227" s="6">
        <v>386</v>
      </c>
      <c r="I227" s="65">
        <v>3.5987149262674913</v>
      </c>
      <c r="J227" s="6">
        <f>VLOOKUP($D227,Sheet1!$A$5:$C$192,3,TRUE)</f>
        <v>1</v>
      </c>
      <c r="K227" s="42" t="str">
        <f>VLOOKUP($D227,Sheet1!$A$5:$C$192,2,TRUE)</f>
        <v>|(</v>
      </c>
      <c r="L227" s="6">
        <f>FLOOR(VLOOKUP($D227,Sheet1!$D$5:$F$192,3,TRUE),1)</f>
        <v>2</v>
      </c>
      <c r="M227" s="42" t="str">
        <f>VLOOKUP($D227,Sheet1!$D$5:$F$192,2,TRUE)</f>
        <v>|(</v>
      </c>
      <c r="N227" s="23">
        <f>FLOOR(VLOOKUP($D227,Sheet1!$G$5:$I$192,3,TRUE),1)</f>
        <v>3</v>
      </c>
      <c r="O227" s="42" t="str">
        <f>VLOOKUP($D227,Sheet1!$G$5:$I$192,2,TRUE)</f>
        <v>|(</v>
      </c>
      <c r="P227" s="23">
        <v>1</v>
      </c>
      <c r="Q227" s="43" t="str">
        <f>VLOOKUP($D227,Sheet1!$J$5:$L$192,2,TRUE)</f>
        <v>|('</v>
      </c>
      <c r="R227" s="23">
        <f>FLOOR(VLOOKUP($D227,Sheet1!$M$5:$O$192,3,TRUE),1)</f>
        <v>13</v>
      </c>
      <c r="S227" s="42" t="str">
        <f>VLOOKUP($D227,Sheet1!$M$5:$O$192,2,TRUE)</f>
        <v>|('</v>
      </c>
      <c r="T227" s="117">
        <f>IF(ABS(D227-VLOOKUP($D227,Sheet1!$M$5:$T$192,8,TRUE))&lt;10^-10,"SoCA",D227-VLOOKUP($D227,Sheet1!$M$5:$T$192,8,TRUE))</f>
        <v>0.3366382075384946</v>
      </c>
      <c r="U227" s="109">
        <f>IF(VLOOKUP($D227,Sheet1!$M$5:$U$192,9,TRUE)=0,"",IF(ABS(D227-VLOOKUP($D227,Sheet1!$M$5:$U$192,9,TRUE))&lt;10^-10,"Alt.",D227-VLOOKUP($D227,Sheet1!$M$5:$U$192,9,TRUE)))</f>
        <v>0.36359850274092853</v>
      </c>
      <c r="V227" s="132">
        <f>$D227-Sheet1!$M$3*$R227</f>
        <v>0.1742163247315025</v>
      </c>
      <c r="Z227" s="6"/>
      <c r="AA227" s="61"/>
    </row>
    <row r="228" spans="1:27" ht="13.5">
      <c r="A228" t="s">
        <v>1377</v>
      </c>
      <c r="B228">
        <v>4194304</v>
      </c>
      <c r="C228">
        <v>4209975</v>
      </c>
      <c r="D228" s="13">
        <f t="shared" si="6"/>
        <v>6.4562826212631954</v>
      </c>
      <c r="E228" s="61">
        <v>11</v>
      </c>
      <c r="F228" s="65">
        <v>52.515390407711074</v>
      </c>
      <c r="G228" s="6">
        <v>1290</v>
      </c>
      <c r="H228" s="6">
        <v>1226</v>
      </c>
      <c r="I228" s="65">
        <v>6.6024631574906216</v>
      </c>
      <c r="J228" s="6">
        <f>VLOOKUP($D228,Sheet1!$A$5:$C$192,3,TRUE)</f>
        <v>1</v>
      </c>
      <c r="K228" s="42" t="str">
        <f>VLOOKUP($D228,Sheet1!$A$5:$C$192,2,TRUE)</f>
        <v>|(</v>
      </c>
      <c r="L228" s="6">
        <f>FLOOR(VLOOKUP($D228,Sheet1!$D$5:$F$192,3,TRUE),1)</f>
        <v>2</v>
      </c>
      <c r="M228" s="42" t="str">
        <f>VLOOKUP($D228,Sheet1!$D$5:$F$192,2,TRUE)</f>
        <v>|(</v>
      </c>
      <c r="N228" s="23">
        <f>FLOOR(VLOOKUP($D228,Sheet1!$G$5:$I$192,3,TRUE),1)</f>
        <v>3</v>
      </c>
      <c r="O228" s="42" t="str">
        <f>VLOOKUP($D228,Sheet1!$G$5:$I$192,2,TRUE)</f>
        <v>|(</v>
      </c>
      <c r="P228" s="23">
        <v>1</v>
      </c>
      <c r="Q228" s="43" t="str">
        <f>VLOOKUP($D228,Sheet1!$J$5:$L$192,2,TRUE)</f>
        <v>|('</v>
      </c>
      <c r="R228" s="23">
        <f>FLOOR(VLOOKUP($D228,Sheet1!$M$5:$O$192,3,TRUE),1)</f>
        <v>13</v>
      </c>
      <c r="S228" s="42" t="str">
        <f>VLOOKUP($D228,Sheet1!$M$5:$O$192,2,TRUE)</f>
        <v>|('</v>
      </c>
      <c r="T228" s="117">
        <f>IF(ABS(D228-VLOOKUP($D228,Sheet1!$M$5:$T$192,8,TRUE))&lt;10^-10,"SoCA",D228-VLOOKUP($D228,Sheet1!$M$5:$T$192,8,TRUE))</f>
        <v>0.27576425192317</v>
      </c>
      <c r="U228" s="109">
        <f>IF(VLOOKUP($D228,Sheet1!$M$5:$U$192,9,TRUE)=0,"",IF(ABS(D228-VLOOKUP($D228,Sheet1!$M$5:$U$192,9,TRUE))&lt;10^-10,"Alt.",D228-VLOOKUP($D228,Sheet1!$M$5:$U$192,9,TRUE)))</f>
        <v>0.30272454712560393</v>
      </c>
      <c r="V228" s="132">
        <f>$D228-Sheet1!$M$3*$R228</f>
        <v>0.1133423691161779</v>
      </c>
      <c r="Z228" s="6"/>
      <c r="AA228" s="61"/>
    </row>
    <row r="229" spans="1:27" ht="13.5">
      <c r="A229" t="s">
        <v>897</v>
      </c>
      <c r="B229">
        <v>45760</v>
      </c>
      <c r="C229">
        <v>45927</v>
      </c>
      <c r="D229" s="13">
        <f t="shared" si="6"/>
        <v>6.3065953933222616</v>
      </c>
      <c r="E229" s="61">
        <v>13</v>
      </c>
      <c r="F229" s="65">
        <v>54.937341709650475</v>
      </c>
      <c r="G229" s="6">
        <v>624</v>
      </c>
      <c r="H229" s="6">
        <v>745</v>
      </c>
      <c r="I229" s="65">
        <v>7.6116799454552071</v>
      </c>
      <c r="J229" s="6">
        <f>VLOOKUP($D229,Sheet1!$A$5:$C$192,3,TRUE)</f>
        <v>1</v>
      </c>
      <c r="K229" s="42" t="str">
        <f>VLOOKUP($D229,Sheet1!$A$5:$C$192,2,TRUE)</f>
        <v>|(</v>
      </c>
      <c r="L229" s="6">
        <f>FLOOR(VLOOKUP($D229,Sheet1!$D$5:$F$192,3,TRUE),1)</f>
        <v>2</v>
      </c>
      <c r="M229" s="42" t="str">
        <f>VLOOKUP($D229,Sheet1!$D$5:$F$192,2,TRUE)</f>
        <v>|(</v>
      </c>
      <c r="N229" s="23">
        <f>FLOOR(VLOOKUP($D229,Sheet1!$G$5:$I$192,3,TRUE),1)</f>
        <v>3</v>
      </c>
      <c r="O229" s="42" t="str">
        <f>VLOOKUP($D229,Sheet1!$G$5:$I$192,2,TRUE)</f>
        <v>|(</v>
      </c>
      <c r="P229" s="23">
        <v>1</v>
      </c>
      <c r="Q229" s="43" t="str">
        <f>VLOOKUP($D229,Sheet1!$J$5:$L$192,2,TRUE)</f>
        <v>|('</v>
      </c>
      <c r="R229" s="23">
        <f>FLOOR(VLOOKUP($D229,Sheet1!$M$5:$O$192,3,TRUE),1)</f>
        <v>13</v>
      </c>
      <c r="S229" s="42" t="str">
        <f>VLOOKUP($D229,Sheet1!$M$5:$O$192,2,TRUE)</f>
        <v>|('</v>
      </c>
      <c r="T229" s="117">
        <f>IF(ABS(D229-VLOOKUP($D229,Sheet1!$M$5:$T$192,8,TRUE))&lt;10^-10,"SoCA",D229-VLOOKUP($D229,Sheet1!$M$5:$T$192,8,TRUE))</f>
        <v>0.12607702398223619</v>
      </c>
      <c r="U229" s="109">
        <f>IF(VLOOKUP($D229,Sheet1!$M$5:$U$192,9,TRUE)=0,"",IF(ABS(D229-VLOOKUP($D229,Sheet1!$M$5:$U$192,9,TRUE))&lt;10^-10,"Alt.",D229-VLOOKUP($D229,Sheet1!$M$5:$U$192,9,TRUE)))</f>
        <v>0.15303731918467012</v>
      </c>
      <c r="V229" s="132">
        <f>$D229-Sheet1!$M$3*$R229</f>
        <v>-3.634485882475591E-2</v>
      </c>
      <c r="Z229" s="6"/>
      <c r="AA229" s="61"/>
    </row>
    <row r="230" spans="1:27" ht="13.5">
      <c r="A230" t="s">
        <v>427</v>
      </c>
      <c r="B230">
        <f>2^12*5^2</f>
        <v>102400</v>
      </c>
      <c r="C230">
        <f>3^7*47</f>
        <v>102789</v>
      </c>
      <c r="D230" s="13">
        <f t="shared" si="6"/>
        <v>6.5642003412073047</v>
      </c>
      <c r="E230" s="61">
        <v>47</v>
      </c>
      <c r="F230" s="65">
        <v>70.931014067199484</v>
      </c>
      <c r="G230" s="6">
        <v>262</v>
      </c>
      <c r="H230" s="6">
        <v>265</v>
      </c>
      <c r="I230" s="65">
        <v>6.5958182703080031</v>
      </c>
      <c r="J230" s="6">
        <f>VLOOKUP($D230,Sheet1!$A$5:$C$192,3,TRUE)</f>
        <v>1</v>
      </c>
      <c r="K230" s="42" t="str">
        <f>VLOOKUP($D230,Sheet1!$A$5:$C$192,2,TRUE)</f>
        <v>|(</v>
      </c>
      <c r="L230" s="6">
        <f>FLOOR(VLOOKUP($D230,Sheet1!$D$5:$F$192,3,TRUE),1)</f>
        <v>2</v>
      </c>
      <c r="M230" s="42" t="str">
        <f>VLOOKUP($D230,Sheet1!$D$5:$F$192,2,TRUE)</f>
        <v>|(</v>
      </c>
      <c r="N230" s="23">
        <f>FLOOR(VLOOKUP($D230,Sheet1!$G$5:$I$192,3,TRUE),1)</f>
        <v>3</v>
      </c>
      <c r="O230" s="42" t="str">
        <f>VLOOKUP($D230,Sheet1!$G$5:$I$192,2,TRUE)</f>
        <v>|(</v>
      </c>
      <c r="P230" s="23">
        <v>1</v>
      </c>
      <c r="Q230" s="43" t="str">
        <f>VLOOKUP($D230,Sheet1!$J$5:$L$192,2,TRUE)</f>
        <v>|('</v>
      </c>
      <c r="R230" s="23">
        <f>FLOOR(VLOOKUP($D230,Sheet1!$M$5:$O$192,3,TRUE),1)</f>
        <v>13</v>
      </c>
      <c r="S230" s="42" t="str">
        <f>VLOOKUP($D230,Sheet1!$M$5:$O$192,2,TRUE)</f>
        <v>|('</v>
      </c>
      <c r="T230" s="117">
        <f>IF(ABS(D230-VLOOKUP($D230,Sheet1!$M$5:$T$192,8,TRUE))&lt;10^-10,"SoCA",D230-VLOOKUP($D230,Sheet1!$M$5:$T$192,8,TRUE))</f>
        <v>0.38368197186727926</v>
      </c>
      <c r="U230" s="109">
        <f>IF(VLOOKUP($D230,Sheet1!$M$5:$U$192,9,TRUE)=0,"",IF(ABS(D230-VLOOKUP($D230,Sheet1!$M$5:$U$192,9,TRUE))&lt;10^-10,"Alt.",D230-VLOOKUP($D230,Sheet1!$M$5:$U$192,9,TRUE)))</f>
        <v>0.41064226706971318</v>
      </c>
      <c r="V230" s="132">
        <f>$D230-Sheet1!$M$3*$R230</f>
        <v>0.22126008906028716</v>
      </c>
      <c r="Z230" s="6"/>
      <c r="AA230" s="61"/>
    </row>
    <row r="231" spans="1:27" ht="13.5">
      <c r="A231" t="s">
        <v>687</v>
      </c>
      <c r="B231">
        <v>286720</v>
      </c>
      <c r="C231">
        <v>287793</v>
      </c>
      <c r="D231" s="13">
        <f t="shared" si="6"/>
        <v>6.4667511250564162</v>
      </c>
      <c r="E231" s="61">
        <v>19</v>
      </c>
      <c r="F231" s="65">
        <v>71.119535513463887</v>
      </c>
      <c r="G231" s="6">
        <v>576</v>
      </c>
      <c r="H231" s="6">
        <v>532</v>
      </c>
      <c r="I231" s="65">
        <v>3.6018185735732371</v>
      </c>
      <c r="J231" s="6">
        <f>VLOOKUP($D231,Sheet1!$A$5:$C$192,3,TRUE)</f>
        <v>1</v>
      </c>
      <c r="K231" s="42" t="str">
        <f>VLOOKUP($D231,Sheet1!$A$5:$C$192,2,TRUE)</f>
        <v>|(</v>
      </c>
      <c r="L231" s="6">
        <f>FLOOR(VLOOKUP($D231,Sheet1!$D$5:$F$192,3,TRUE),1)</f>
        <v>2</v>
      </c>
      <c r="M231" s="42" t="str">
        <f>VLOOKUP($D231,Sheet1!$D$5:$F$192,2,TRUE)</f>
        <v>|(</v>
      </c>
      <c r="N231" s="23">
        <f>FLOOR(VLOOKUP($D231,Sheet1!$G$5:$I$192,3,TRUE),1)</f>
        <v>3</v>
      </c>
      <c r="O231" s="42" t="str">
        <f>VLOOKUP($D231,Sheet1!$G$5:$I$192,2,TRUE)</f>
        <v>|(</v>
      </c>
      <c r="P231" s="23">
        <v>1</v>
      </c>
      <c r="Q231" s="43" t="str">
        <f>VLOOKUP($D231,Sheet1!$J$5:$L$192,2,TRUE)</f>
        <v>|('</v>
      </c>
      <c r="R231" s="23">
        <f>FLOOR(VLOOKUP($D231,Sheet1!$M$5:$O$192,3,TRUE),1)</f>
        <v>13</v>
      </c>
      <c r="S231" s="42" t="str">
        <f>VLOOKUP($D231,Sheet1!$M$5:$O$192,2,TRUE)</f>
        <v>|('</v>
      </c>
      <c r="T231" s="117">
        <f>IF(ABS(D231-VLOOKUP($D231,Sheet1!$M$5:$T$192,8,TRUE))&lt;10^-10,"SoCA",D231-VLOOKUP($D231,Sheet1!$M$5:$T$192,8,TRUE))</f>
        <v>0.28623275571639084</v>
      </c>
      <c r="U231" s="109">
        <f>IF(VLOOKUP($D231,Sheet1!$M$5:$U$192,9,TRUE)=0,"",IF(ABS(D231-VLOOKUP($D231,Sheet1!$M$5:$U$192,9,TRUE))&lt;10^-10,"Alt.",D231-VLOOKUP($D231,Sheet1!$M$5:$U$192,9,TRUE)))</f>
        <v>0.31319305091882477</v>
      </c>
      <c r="V231" s="132">
        <f>$D231-Sheet1!$M$3*$R231</f>
        <v>0.12381087290939874</v>
      </c>
      <c r="Z231" s="6"/>
      <c r="AA231" s="61"/>
    </row>
    <row r="232" spans="1:27" ht="13.5">
      <c r="A232" t="s">
        <v>1541</v>
      </c>
      <c r="B232">
        <v>334611</v>
      </c>
      <c r="C232">
        <v>335872</v>
      </c>
      <c r="D232" s="13">
        <f t="shared" si="6"/>
        <v>6.5119882528063737</v>
      </c>
      <c r="E232" s="61">
        <v>41</v>
      </c>
      <c r="F232" s="65">
        <v>71.435716695264063</v>
      </c>
      <c r="G232" s="6">
        <v>1307</v>
      </c>
      <c r="H232" s="6">
        <v>1390</v>
      </c>
      <c r="I232" s="65">
        <v>-9.4009668411901561</v>
      </c>
      <c r="J232" s="6">
        <f>VLOOKUP($D232,Sheet1!$A$5:$C$192,3,TRUE)</f>
        <v>1</v>
      </c>
      <c r="K232" s="42" t="str">
        <f>VLOOKUP($D232,Sheet1!$A$5:$C$192,2,TRUE)</f>
        <v>|(</v>
      </c>
      <c r="L232" s="6">
        <f>FLOOR(VLOOKUP($D232,Sheet1!$D$5:$F$192,3,TRUE),1)</f>
        <v>2</v>
      </c>
      <c r="M232" s="42" t="str">
        <f>VLOOKUP($D232,Sheet1!$D$5:$F$192,2,TRUE)</f>
        <v>|(</v>
      </c>
      <c r="N232" s="23">
        <f>FLOOR(VLOOKUP($D232,Sheet1!$G$5:$I$192,3,TRUE),1)</f>
        <v>3</v>
      </c>
      <c r="O232" s="42" t="str">
        <f>VLOOKUP($D232,Sheet1!$G$5:$I$192,2,TRUE)</f>
        <v>|(</v>
      </c>
      <c r="P232" s="23">
        <v>1</v>
      </c>
      <c r="Q232" s="43" t="str">
        <f>VLOOKUP($D232,Sheet1!$J$5:$L$192,2,TRUE)</f>
        <v>|('</v>
      </c>
      <c r="R232" s="23">
        <f>FLOOR(VLOOKUP($D232,Sheet1!$M$5:$O$192,3,TRUE),1)</f>
        <v>13</v>
      </c>
      <c r="S232" s="42" t="str">
        <f>VLOOKUP($D232,Sheet1!$M$5:$O$192,2,TRUE)</f>
        <v>|('</v>
      </c>
      <c r="T232" s="117">
        <f>IF(ABS(D232-VLOOKUP($D232,Sheet1!$M$5:$T$192,8,TRUE))&lt;10^-10,"SoCA",D232-VLOOKUP($D232,Sheet1!$M$5:$T$192,8,TRUE))</f>
        <v>0.33146988346634831</v>
      </c>
      <c r="U232" s="109">
        <f>IF(VLOOKUP($D232,Sheet1!$M$5:$U$192,9,TRUE)=0,"",IF(ABS(D232-VLOOKUP($D232,Sheet1!$M$5:$U$192,9,TRUE))&lt;10^-10,"Alt.",D232-VLOOKUP($D232,Sheet1!$M$5:$U$192,9,TRUE)))</f>
        <v>0.35843017866878224</v>
      </c>
      <c r="V232" s="132">
        <f>$D232-Sheet1!$M$3*$R232</f>
        <v>0.16904800065935621</v>
      </c>
      <c r="Z232" s="6"/>
      <c r="AA232" s="61"/>
    </row>
    <row r="233" spans="1:27" ht="13.5">
      <c r="A233" t="s">
        <v>1761</v>
      </c>
      <c r="B233">
        <v>6790635</v>
      </c>
      <c r="C233">
        <v>6815744</v>
      </c>
      <c r="D233" s="13">
        <f t="shared" si="6"/>
        <v>6.3895919821859781</v>
      </c>
      <c r="E233" s="61">
        <v>23</v>
      </c>
      <c r="F233" s="65">
        <v>73.811799854919443</v>
      </c>
      <c r="G233" s="6">
        <v>1661</v>
      </c>
      <c r="H233" s="6">
        <v>1610</v>
      </c>
      <c r="I233" s="65">
        <v>-10.393430456894167</v>
      </c>
      <c r="J233" s="6">
        <f>VLOOKUP($D233,Sheet1!$A$5:$C$192,3,TRUE)</f>
        <v>1</v>
      </c>
      <c r="K233" s="42" t="str">
        <f>VLOOKUP($D233,Sheet1!$A$5:$C$192,2,TRUE)</f>
        <v>|(</v>
      </c>
      <c r="L233" s="6">
        <f>FLOOR(VLOOKUP($D233,Sheet1!$D$5:$F$192,3,TRUE),1)</f>
        <v>2</v>
      </c>
      <c r="M233" s="42" t="str">
        <f>VLOOKUP($D233,Sheet1!$D$5:$F$192,2,TRUE)</f>
        <v>|(</v>
      </c>
      <c r="N233" s="23">
        <f>FLOOR(VLOOKUP($D233,Sheet1!$G$5:$I$192,3,TRUE),1)</f>
        <v>3</v>
      </c>
      <c r="O233" s="42" t="str">
        <f>VLOOKUP($D233,Sheet1!$G$5:$I$192,2,TRUE)</f>
        <v>|(</v>
      </c>
      <c r="P233" s="23">
        <v>1</v>
      </c>
      <c r="Q233" s="43" t="str">
        <f>VLOOKUP($D233,Sheet1!$J$5:$L$192,2,TRUE)</f>
        <v>|('</v>
      </c>
      <c r="R233" s="23">
        <f>FLOOR(VLOOKUP($D233,Sheet1!$M$5:$O$192,3,TRUE),1)</f>
        <v>13</v>
      </c>
      <c r="S233" s="42" t="str">
        <f>VLOOKUP($D233,Sheet1!$M$5:$O$192,2,TRUE)</f>
        <v>|('</v>
      </c>
      <c r="T233" s="117">
        <f>IF(ABS(D233-VLOOKUP($D233,Sheet1!$M$5:$T$192,8,TRUE))&lt;10^-10,"SoCA",D233-VLOOKUP($D233,Sheet1!$M$5:$T$192,8,TRUE))</f>
        <v>0.20907361284595272</v>
      </c>
      <c r="U233" s="109">
        <f>IF(VLOOKUP($D233,Sheet1!$M$5:$U$192,9,TRUE)=0,"",IF(ABS(D233-VLOOKUP($D233,Sheet1!$M$5:$U$192,9,TRUE))&lt;10^-10,"Alt.",D233-VLOOKUP($D233,Sheet1!$M$5:$U$192,9,TRUE)))</f>
        <v>0.23603390804838664</v>
      </c>
      <c r="V233" s="132">
        <f>$D233-Sheet1!$M$3*$R233</f>
        <v>4.6651730038960615E-2</v>
      </c>
      <c r="Z233" s="6"/>
      <c r="AA233" s="61"/>
    </row>
    <row r="234" spans="1:27" ht="13.5">
      <c r="A234" t="s">
        <v>473</v>
      </c>
      <c r="B234">
        <v>2997</v>
      </c>
      <c r="C234">
        <v>3008</v>
      </c>
      <c r="D234" s="13">
        <f t="shared" si="6"/>
        <v>6.3425797968754862</v>
      </c>
      <c r="E234" s="61">
        <v>47</v>
      </c>
      <c r="F234" s="65">
        <v>84.454911073936103</v>
      </c>
      <c r="G234" s="6">
        <v>341</v>
      </c>
      <c r="H234" s="6">
        <v>311</v>
      </c>
      <c r="I234" s="65">
        <v>-4.3905357453698848</v>
      </c>
      <c r="J234" s="6">
        <f>VLOOKUP($D234,Sheet1!$A$5:$C$192,3,TRUE)</f>
        <v>1</v>
      </c>
      <c r="K234" s="42" t="str">
        <f>VLOOKUP($D234,Sheet1!$A$5:$C$192,2,TRUE)</f>
        <v>|(</v>
      </c>
      <c r="L234" s="6">
        <f>FLOOR(VLOOKUP($D234,Sheet1!$D$5:$F$192,3,TRUE),1)</f>
        <v>2</v>
      </c>
      <c r="M234" s="42" t="str">
        <f>VLOOKUP($D234,Sheet1!$D$5:$F$192,2,TRUE)</f>
        <v>|(</v>
      </c>
      <c r="N234" s="23">
        <f>FLOOR(VLOOKUP($D234,Sheet1!$G$5:$I$192,3,TRUE),1)</f>
        <v>3</v>
      </c>
      <c r="O234" s="42" t="str">
        <f>VLOOKUP($D234,Sheet1!$G$5:$I$192,2,TRUE)</f>
        <v>|(</v>
      </c>
      <c r="P234" s="23">
        <v>1</v>
      </c>
      <c r="Q234" s="43" t="str">
        <f>VLOOKUP($D234,Sheet1!$J$5:$L$192,2,TRUE)</f>
        <v>|('</v>
      </c>
      <c r="R234" s="23">
        <f>FLOOR(VLOOKUP($D234,Sheet1!$M$5:$O$192,3,TRUE),1)</f>
        <v>13</v>
      </c>
      <c r="S234" s="42" t="str">
        <f>VLOOKUP($D234,Sheet1!$M$5:$O$192,2,TRUE)</f>
        <v>|('</v>
      </c>
      <c r="T234" s="117">
        <f>IF(ABS(D234-VLOOKUP($D234,Sheet1!$M$5:$T$192,8,TRUE))&lt;10^-10,"SoCA",D234-VLOOKUP($D234,Sheet1!$M$5:$T$192,8,TRUE))</f>
        <v>0.16206142753546082</v>
      </c>
      <c r="U234" s="109">
        <f>IF(VLOOKUP($D234,Sheet1!$M$5:$U$192,9,TRUE)=0,"",IF(ABS(D234-VLOOKUP($D234,Sheet1!$M$5:$U$192,9,TRUE))&lt;10^-10,"Alt.",D234-VLOOKUP($D234,Sheet1!$M$5:$U$192,9,TRUE)))</f>
        <v>0.18902172273789475</v>
      </c>
      <c r="V234" s="132">
        <f>$D234-Sheet1!$M$3*$R234</f>
        <v>-3.6045527153127921E-4</v>
      </c>
      <c r="Z234" s="6"/>
      <c r="AA234" s="61"/>
    </row>
    <row r="235" spans="1:27" ht="13.5">
      <c r="A235" t="s">
        <v>1688</v>
      </c>
      <c r="B235">
        <v>41943040</v>
      </c>
      <c r="C235">
        <v>42101937</v>
      </c>
      <c r="D235" s="13">
        <f t="shared" si="6"/>
        <v>6.5462145217051333</v>
      </c>
      <c r="E235" s="61">
        <v>31</v>
      </c>
      <c r="F235" s="65">
        <v>91.220400759298329</v>
      </c>
      <c r="G235" s="6">
        <v>1587</v>
      </c>
      <c r="H235" s="6">
        <v>1537</v>
      </c>
      <c r="I235" s="65">
        <v>9.5969257227406608</v>
      </c>
      <c r="J235" s="6">
        <f>VLOOKUP($D235,Sheet1!$A$5:$C$192,3,TRUE)</f>
        <v>1</v>
      </c>
      <c r="K235" s="42" t="str">
        <f>VLOOKUP($D235,Sheet1!$A$5:$C$192,2,TRUE)</f>
        <v>|(</v>
      </c>
      <c r="L235" s="6">
        <f>FLOOR(VLOOKUP($D235,Sheet1!$D$5:$F$192,3,TRUE),1)</f>
        <v>2</v>
      </c>
      <c r="M235" s="42" t="str">
        <f>VLOOKUP($D235,Sheet1!$D$5:$F$192,2,TRUE)</f>
        <v>|(</v>
      </c>
      <c r="N235" s="23">
        <f>FLOOR(VLOOKUP($D235,Sheet1!$G$5:$I$192,3,TRUE),1)</f>
        <v>3</v>
      </c>
      <c r="O235" s="42" t="str">
        <f>VLOOKUP($D235,Sheet1!$G$5:$I$192,2,TRUE)</f>
        <v>|(</v>
      </c>
      <c r="P235" s="23">
        <v>1</v>
      </c>
      <c r="Q235" s="43" t="str">
        <f>VLOOKUP($D235,Sheet1!$J$5:$L$192,2,TRUE)</f>
        <v>|('</v>
      </c>
      <c r="R235" s="23">
        <f>FLOOR(VLOOKUP($D235,Sheet1!$M$5:$O$192,3,TRUE),1)</f>
        <v>13</v>
      </c>
      <c r="S235" s="42" t="str">
        <f>VLOOKUP($D235,Sheet1!$M$5:$O$192,2,TRUE)</f>
        <v>|('</v>
      </c>
      <c r="T235" s="117">
        <f>IF(ABS(D235-VLOOKUP($D235,Sheet1!$M$5:$T$192,8,TRUE))&lt;10^-10,"SoCA",D235-VLOOKUP($D235,Sheet1!$M$5:$T$192,8,TRUE))</f>
        <v>0.36569615236510788</v>
      </c>
      <c r="U235" s="109">
        <f>IF(VLOOKUP($D235,Sheet1!$M$5:$U$192,9,TRUE)=0,"",IF(ABS(D235-VLOOKUP($D235,Sheet1!$M$5:$U$192,9,TRUE))&lt;10^-10,"Alt.",D235-VLOOKUP($D235,Sheet1!$M$5:$U$192,9,TRUE)))</f>
        <v>0.39265644756754181</v>
      </c>
      <c r="V235" s="132">
        <f>$D235-Sheet1!$M$3*$R235</f>
        <v>0.20327426955811578</v>
      </c>
      <c r="Z235" s="6"/>
      <c r="AA235" s="61"/>
    </row>
    <row r="236" spans="1:27" ht="13.5">
      <c r="A236" t="s">
        <v>1481</v>
      </c>
      <c r="B236">
        <v>84992</v>
      </c>
      <c r="C236">
        <v>85293</v>
      </c>
      <c r="D236" s="13">
        <f t="shared" si="6"/>
        <v>6.1203510761003246</v>
      </c>
      <c r="E236" s="61" t="s">
        <v>1931</v>
      </c>
      <c r="F236" s="65">
        <v>101.73882512249699</v>
      </c>
      <c r="G236" s="6">
        <v>1391</v>
      </c>
      <c r="H236" s="6">
        <v>1330</v>
      </c>
      <c r="I236" s="65">
        <v>7.6231476865915511</v>
      </c>
      <c r="J236" s="6">
        <f>VLOOKUP($D236,Sheet1!$A$5:$C$192,3,TRUE)</f>
        <v>1</v>
      </c>
      <c r="K236" s="42" t="str">
        <f>VLOOKUP($D236,Sheet1!$A$5:$C$192,2,TRUE)</f>
        <v>|(</v>
      </c>
      <c r="L236" s="6">
        <f>FLOOR(VLOOKUP($D236,Sheet1!$D$5:$F$192,3,TRUE),1)</f>
        <v>2</v>
      </c>
      <c r="M236" s="42" t="str">
        <f>VLOOKUP($D236,Sheet1!$D$5:$F$192,2,TRUE)</f>
        <v>|(</v>
      </c>
      <c r="N236" s="23">
        <f>FLOOR(VLOOKUP($D236,Sheet1!$G$5:$I$192,3,TRUE),1)</f>
        <v>3</v>
      </c>
      <c r="O236" s="42" t="str">
        <f>VLOOKUP($D236,Sheet1!$G$5:$I$192,2,TRUE)</f>
        <v>|(</v>
      </c>
      <c r="P236" s="23">
        <v>1</v>
      </c>
      <c r="Q236" s="43" t="str">
        <f>VLOOKUP($D236,Sheet1!$J$5:$L$192,2,TRUE)</f>
        <v>|('</v>
      </c>
      <c r="R236" s="23">
        <f>FLOOR(VLOOKUP($D236,Sheet1!$M$5:$O$192,3,TRUE),1)</f>
        <v>13</v>
      </c>
      <c r="S236" s="42" t="str">
        <f>VLOOKUP($D236,Sheet1!$M$5:$O$192,2,TRUE)</f>
        <v>|('</v>
      </c>
      <c r="T236" s="117">
        <f>IF(ABS(D236-VLOOKUP($D236,Sheet1!$M$5:$T$192,8,TRUE))&lt;10^-10,"SoCA",D236-VLOOKUP($D236,Sheet1!$M$5:$T$192,8,TRUE))</f>
        <v>-6.0167293239700825E-2</v>
      </c>
      <c r="U236" s="109">
        <f>IF(VLOOKUP($D236,Sheet1!$M$5:$U$192,9,TRUE)=0,"",IF(ABS(D236-VLOOKUP($D236,Sheet1!$M$5:$U$192,9,TRUE))&lt;10^-10,"Alt.",D236-VLOOKUP($D236,Sheet1!$M$5:$U$192,9,TRUE)))</f>
        <v>-3.3206998037266899E-2</v>
      </c>
      <c r="V236" s="132">
        <f>$D236-Sheet1!$M$3*$R236</f>
        <v>-0.22258917604669293</v>
      </c>
      <c r="Z236" s="6"/>
      <c r="AA236" s="61"/>
    </row>
    <row r="237" spans="1:27" ht="13.5">
      <c r="A237" t="s">
        <v>1286</v>
      </c>
      <c r="B237">
        <v>31232</v>
      </c>
      <c r="C237">
        <v>31347</v>
      </c>
      <c r="D237" s="13">
        <f t="shared" si="6"/>
        <v>6.3629057593784761</v>
      </c>
      <c r="E237" s="61" t="s">
        <v>1931</v>
      </c>
      <c r="F237" s="65">
        <v>105.45272284698071</v>
      </c>
      <c r="G237" s="6">
        <v>1194</v>
      </c>
      <c r="H237" s="6">
        <v>1135</v>
      </c>
      <c r="I237" s="65">
        <v>5.608212711067293</v>
      </c>
      <c r="J237" s="6">
        <f>VLOOKUP($D237,Sheet1!$A$5:$C$192,3,TRUE)</f>
        <v>1</v>
      </c>
      <c r="K237" s="42" t="str">
        <f>VLOOKUP($D237,Sheet1!$A$5:$C$192,2,TRUE)</f>
        <v>|(</v>
      </c>
      <c r="L237" s="6">
        <f>FLOOR(VLOOKUP($D237,Sheet1!$D$5:$F$192,3,TRUE),1)</f>
        <v>2</v>
      </c>
      <c r="M237" s="42" t="str">
        <f>VLOOKUP($D237,Sheet1!$D$5:$F$192,2,TRUE)</f>
        <v>|(</v>
      </c>
      <c r="N237" s="23">
        <f>FLOOR(VLOOKUP($D237,Sheet1!$G$5:$I$192,3,TRUE),1)</f>
        <v>3</v>
      </c>
      <c r="O237" s="42" t="str">
        <f>VLOOKUP($D237,Sheet1!$G$5:$I$192,2,TRUE)</f>
        <v>|(</v>
      </c>
      <c r="P237" s="23">
        <v>1</v>
      </c>
      <c r="Q237" s="43" t="str">
        <f>VLOOKUP($D237,Sheet1!$J$5:$L$192,2,TRUE)</f>
        <v>|('</v>
      </c>
      <c r="R237" s="23">
        <f>FLOOR(VLOOKUP($D237,Sheet1!$M$5:$O$192,3,TRUE),1)</f>
        <v>13</v>
      </c>
      <c r="S237" s="42" t="str">
        <f>VLOOKUP($D237,Sheet1!$M$5:$O$192,2,TRUE)</f>
        <v>|('</v>
      </c>
      <c r="T237" s="117">
        <f>IF(ABS(D237-VLOOKUP($D237,Sheet1!$M$5:$T$192,8,TRUE))&lt;10^-10,"SoCA",D237-VLOOKUP($D237,Sheet1!$M$5:$T$192,8,TRUE))</f>
        <v>0.18238739003845073</v>
      </c>
      <c r="U237" s="109">
        <f>IF(VLOOKUP($D237,Sheet1!$M$5:$U$192,9,TRUE)=0,"",IF(ABS(D237-VLOOKUP($D237,Sheet1!$M$5:$U$192,9,TRUE))&lt;10^-10,"Alt.",D237-VLOOKUP($D237,Sheet1!$M$5:$U$192,9,TRUE)))</f>
        <v>0.20934768524088465</v>
      </c>
      <c r="V237" s="132">
        <f>$D237-Sheet1!$M$3*$R237</f>
        <v>1.9965507231458623E-2</v>
      </c>
      <c r="Z237" s="6"/>
      <c r="AA237" s="61"/>
    </row>
    <row r="238" spans="1:27" ht="13.5">
      <c r="A238" t="s">
        <v>1393</v>
      </c>
      <c r="B238">
        <v>647168</v>
      </c>
      <c r="C238">
        <v>649539</v>
      </c>
      <c r="D238" s="13">
        <f t="shared" si="6"/>
        <v>6.331053206107371</v>
      </c>
      <c r="E238" s="61" t="s">
        <v>1931</v>
      </c>
      <c r="F238" s="65">
        <v>112.55081042310695</v>
      </c>
      <c r="G238" s="6">
        <v>885</v>
      </c>
      <c r="H238" s="6">
        <v>1242</v>
      </c>
      <c r="I238" s="65">
        <v>9.6101739888173636</v>
      </c>
      <c r="J238" s="6">
        <f>VLOOKUP($D238,Sheet1!$A$5:$C$192,3,TRUE)</f>
        <v>1</v>
      </c>
      <c r="K238" s="42" t="str">
        <f>VLOOKUP($D238,Sheet1!$A$5:$C$192,2,TRUE)</f>
        <v>|(</v>
      </c>
      <c r="L238" s="6">
        <f>FLOOR(VLOOKUP($D238,Sheet1!$D$5:$F$192,3,TRUE),1)</f>
        <v>2</v>
      </c>
      <c r="M238" s="42" t="str">
        <f>VLOOKUP($D238,Sheet1!$D$5:$F$192,2,TRUE)</f>
        <v>|(</v>
      </c>
      <c r="N238" s="23">
        <f>FLOOR(VLOOKUP($D238,Sheet1!$G$5:$I$192,3,TRUE),1)</f>
        <v>3</v>
      </c>
      <c r="O238" s="42" t="str">
        <f>VLOOKUP($D238,Sheet1!$G$5:$I$192,2,TRUE)</f>
        <v>|(</v>
      </c>
      <c r="P238" s="23">
        <v>1</v>
      </c>
      <c r="Q238" s="43" t="str">
        <f>VLOOKUP($D238,Sheet1!$J$5:$L$192,2,TRUE)</f>
        <v>|('</v>
      </c>
      <c r="R238" s="23">
        <f>FLOOR(VLOOKUP($D238,Sheet1!$M$5:$O$192,3,TRUE),1)</f>
        <v>13</v>
      </c>
      <c r="S238" s="42" t="str">
        <f>VLOOKUP($D238,Sheet1!$M$5:$O$192,2,TRUE)</f>
        <v>|('</v>
      </c>
      <c r="T238" s="117">
        <f>IF(ABS(D238-VLOOKUP($D238,Sheet1!$M$5:$T$192,8,TRUE))&lt;10^-10,"SoCA",D238-VLOOKUP($D238,Sheet1!$M$5:$T$192,8,TRUE))</f>
        <v>0.15053483676734558</v>
      </c>
      <c r="U238" s="109">
        <f>IF(VLOOKUP($D238,Sheet1!$M$5:$U$192,9,TRUE)=0,"",IF(ABS(D238-VLOOKUP($D238,Sheet1!$M$5:$U$192,9,TRUE))&lt;10^-10,"Alt.",D238-VLOOKUP($D238,Sheet1!$M$5:$U$192,9,TRUE)))</f>
        <v>0.17749513196977951</v>
      </c>
      <c r="V238" s="132">
        <f>$D238-Sheet1!$M$3*$R238</f>
        <v>-1.1887046039646521E-2</v>
      </c>
      <c r="Z238" s="6"/>
      <c r="AA238" s="61"/>
    </row>
    <row r="239" spans="1:27" ht="13.5">
      <c r="A239" t="s">
        <v>678</v>
      </c>
      <c r="B239">
        <v>1323</v>
      </c>
      <c r="C239">
        <v>1328</v>
      </c>
      <c r="D239" s="13">
        <f t="shared" si="6"/>
        <v>6.530502081897775</v>
      </c>
      <c r="E239" s="61" t="s">
        <v>1931</v>
      </c>
      <c r="F239" s="65">
        <v>116.63571576249542</v>
      </c>
      <c r="G239" s="6">
        <v>569</v>
      </c>
      <c r="H239" s="6">
        <v>523</v>
      </c>
      <c r="I239" s="65">
        <v>-3.4021068050968664</v>
      </c>
      <c r="J239" s="6">
        <f>VLOOKUP($D239,Sheet1!$A$5:$C$192,3,TRUE)</f>
        <v>1</v>
      </c>
      <c r="K239" s="42" t="str">
        <f>VLOOKUP($D239,Sheet1!$A$5:$C$192,2,TRUE)</f>
        <v>|(</v>
      </c>
      <c r="L239" s="6">
        <f>FLOOR(VLOOKUP($D239,Sheet1!$D$5:$F$192,3,TRUE),1)</f>
        <v>2</v>
      </c>
      <c r="M239" s="42" t="str">
        <f>VLOOKUP($D239,Sheet1!$D$5:$F$192,2,TRUE)</f>
        <v>|(</v>
      </c>
      <c r="N239" s="23">
        <f>FLOOR(VLOOKUP($D239,Sheet1!$G$5:$I$192,3,TRUE),1)</f>
        <v>3</v>
      </c>
      <c r="O239" s="42" t="str">
        <f>VLOOKUP($D239,Sheet1!$G$5:$I$192,2,TRUE)</f>
        <v>|(</v>
      </c>
      <c r="P239" s="23">
        <v>1</v>
      </c>
      <c r="Q239" s="43" t="str">
        <f>VLOOKUP($D239,Sheet1!$J$5:$L$192,2,TRUE)</f>
        <v>|('</v>
      </c>
      <c r="R239" s="23">
        <f>FLOOR(VLOOKUP($D239,Sheet1!$M$5:$O$192,3,TRUE),1)</f>
        <v>13</v>
      </c>
      <c r="S239" s="42" t="str">
        <f>VLOOKUP($D239,Sheet1!$M$5:$O$192,2,TRUE)</f>
        <v>|('</v>
      </c>
      <c r="T239" s="117">
        <f>IF(ABS(D239-VLOOKUP($D239,Sheet1!$M$5:$T$192,8,TRUE))&lt;10^-10,"SoCA",D239-VLOOKUP($D239,Sheet1!$M$5:$T$192,8,TRUE))</f>
        <v>0.34998371255774963</v>
      </c>
      <c r="U239" s="109">
        <f>IF(VLOOKUP($D239,Sheet1!$M$5:$U$192,9,TRUE)=0,"",IF(ABS(D239-VLOOKUP($D239,Sheet1!$M$5:$U$192,9,TRUE))&lt;10^-10,"Alt.",D239-VLOOKUP($D239,Sheet1!$M$5:$U$192,9,TRUE)))</f>
        <v>0.37694400776018355</v>
      </c>
      <c r="V239" s="132">
        <f>$D239-Sheet1!$M$3*$R239</f>
        <v>0.18756182975075752</v>
      </c>
      <c r="Z239" s="6"/>
      <c r="AA239" s="61"/>
    </row>
    <row r="240" spans="1:27" ht="13.5">
      <c r="A240" s="6" t="s">
        <v>1874</v>
      </c>
      <c r="B240">
        <v>1240029</v>
      </c>
      <c r="C240">
        <v>1244672</v>
      </c>
      <c r="D240" s="13">
        <f t="shared" si="6"/>
        <v>6.4700976460881758</v>
      </c>
      <c r="E240" s="61">
        <v>17</v>
      </c>
      <c r="F240" s="65">
        <v>118.49749684047046</v>
      </c>
      <c r="G240" s="59">
        <v>1710</v>
      </c>
      <c r="H240" s="63">
        <v>1000079</v>
      </c>
      <c r="I240" s="65">
        <v>-11.398387483918729</v>
      </c>
      <c r="J240" s="6">
        <f>VLOOKUP($D240,Sheet1!$A$5:$C$192,3,TRUE)</f>
        <v>1</v>
      </c>
      <c r="K240" s="42" t="str">
        <f>VLOOKUP($D240,Sheet1!$A$5:$C$192,2,TRUE)</f>
        <v>|(</v>
      </c>
      <c r="L240" s="6">
        <f>FLOOR(VLOOKUP($D240,Sheet1!$D$5:$F$192,3,TRUE),1)</f>
        <v>2</v>
      </c>
      <c r="M240" s="42" t="str">
        <f>VLOOKUP($D240,Sheet1!$D$5:$F$192,2,TRUE)</f>
        <v>|(</v>
      </c>
      <c r="N240" s="23">
        <f>FLOOR(VLOOKUP($D240,Sheet1!$G$5:$I$192,3,TRUE),1)</f>
        <v>3</v>
      </c>
      <c r="O240" s="42" t="str">
        <f>VLOOKUP($D240,Sheet1!$G$5:$I$192,2,TRUE)</f>
        <v>|(</v>
      </c>
      <c r="P240" s="23">
        <v>1</v>
      </c>
      <c r="Q240" s="43" t="str">
        <f>VLOOKUP($D240,Sheet1!$J$5:$L$192,2,TRUE)</f>
        <v>|('</v>
      </c>
      <c r="R240" s="23">
        <f>FLOOR(VLOOKUP($D240,Sheet1!$M$5:$O$192,3,TRUE),1)</f>
        <v>13</v>
      </c>
      <c r="S240" s="42" t="str">
        <f>VLOOKUP($D240,Sheet1!$M$5:$O$192,2,TRUE)</f>
        <v>|('</v>
      </c>
      <c r="T240" s="117">
        <f>IF(ABS(D240-VLOOKUP($D240,Sheet1!$M$5:$T$192,8,TRUE))&lt;10^-10,"SoCA",D240-VLOOKUP($D240,Sheet1!$M$5:$T$192,8,TRUE))</f>
        <v>0.28957927674815043</v>
      </c>
      <c r="U240" s="109">
        <f>IF(VLOOKUP($D240,Sheet1!$M$5:$U$192,9,TRUE)=0,"",IF(ABS(D240-VLOOKUP($D240,Sheet1!$M$5:$U$192,9,TRUE))&lt;10^-10,"Alt.",D240-VLOOKUP($D240,Sheet1!$M$5:$U$192,9,TRUE)))</f>
        <v>0.31653957195058435</v>
      </c>
      <c r="V240" s="132">
        <f>$D240-Sheet1!$M$3*$R240</f>
        <v>0.12715739394115833</v>
      </c>
      <c r="Z240" s="6"/>
      <c r="AA240" s="61"/>
    </row>
    <row r="241" spans="1:27" ht="13.5">
      <c r="A241" t="s">
        <v>785</v>
      </c>
      <c r="B241">
        <v>266</v>
      </c>
      <c r="C241">
        <v>267</v>
      </c>
      <c r="D241" s="13">
        <f t="shared" si="6"/>
        <v>6.496195423637058</v>
      </c>
      <c r="E241" s="61" t="s">
        <v>1931</v>
      </c>
      <c r="F241" s="65">
        <v>138.04624500920397</v>
      </c>
      <c r="G241" s="6">
        <v>669</v>
      </c>
      <c r="H241" s="6">
        <v>631</v>
      </c>
      <c r="I241" s="65">
        <v>0.60000558083820699</v>
      </c>
      <c r="J241" s="6">
        <f>VLOOKUP($D241,Sheet1!$A$5:$C$192,3,TRUE)</f>
        <v>1</v>
      </c>
      <c r="K241" s="42" t="str">
        <f>VLOOKUP($D241,Sheet1!$A$5:$C$192,2,TRUE)</f>
        <v>|(</v>
      </c>
      <c r="L241" s="6">
        <f>FLOOR(VLOOKUP($D241,Sheet1!$D$5:$F$192,3,TRUE),1)</f>
        <v>2</v>
      </c>
      <c r="M241" s="42" t="str">
        <f>VLOOKUP($D241,Sheet1!$D$5:$F$192,2,TRUE)</f>
        <v>|(</v>
      </c>
      <c r="N241" s="23">
        <f>FLOOR(VLOOKUP($D241,Sheet1!$G$5:$I$192,3,TRUE),1)</f>
        <v>3</v>
      </c>
      <c r="O241" s="42" t="str">
        <f>VLOOKUP($D241,Sheet1!$G$5:$I$192,2,TRUE)</f>
        <v>|(</v>
      </c>
      <c r="P241" s="23">
        <v>1</v>
      </c>
      <c r="Q241" s="43" t="str">
        <f>VLOOKUP($D241,Sheet1!$J$5:$L$192,2,TRUE)</f>
        <v>|('</v>
      </c>
      <c r="R241" s="23">
        <f>FLOOR(VLOOKUP($D241,Sheet1!$M$5:$O$192,3,TRUE),1)</f>
        <v>13</v>
      </c>
      <c r="S241" s="42" t="str">
        <f>VLOOKUP($D241,Sheet1!$M$5:$O$192,2,TRUE)</f>
        <v>|('</v>
      </c>
      <c r="T241" s="117">
        <f>IF(ABS(D241-VLOOKUP($D241,Sheet1!$M$5:$T$192,8,TRUE))&lt;10^-10,"SoCA",D241-VLOOKUP($D241,Sheet1!$M$5:$T$192,8,TRUE))</f>
        <v>0.31567705429703263</v>
      </c>
      <c r="U241" s="109">
        <f>IF(VLOOKUP($D241,Sheet1!$M$5:$U$192,9,TRUE)=0,"",IF(ABS(D241-VLOOKUP($D241,Sheet1!$M$5:$U$192,9,TRUE))&lt;10^-10,"Alt.",D241-VLOOKUP($D241,Sheet1!$M$5:$U$192,9,TRUE)))</f>
        <v>0.34263734949946656</v>
      </c>
      <c r="V241" s="132">
        <f>$D241-Sheet1!$M$3*$R241</f>
        <v>0.15325517149004053</v>
      </c>
      <c r="Z241" s="6"/>
      <c r="AA241" s="61"/>
    </row>
    <row r="242" spans="1:27" ht="13.5">
      <c r="A242" t="s">
        <v>880</v>
      </c>
      <c r="B242">
        <v>1408</v>
      </c>
      <c r="C242">
        <v>1413</v>
      </c>
      <c r="D242" s="13">
        <f t="shared" si="6"/>
        <v>6.1369580359707099</v>
      </c>
      <c r="E242" s="61" t="s">
        <v>1931</v>
      </c>
      <c r="F242" s="65">
        <v>168.10041089398433</v>
      </c>
      <c r="G242" s="6">
        <v>790</v>
      </c>
      <c r="H242" s="6">
        <v>727</v>
      </c>
      <c r="I242" s="65">
        <v>1.6221251355698825</v>
      </c>
      <c r="J242" s="6">
        <f>VLOOKUP($D242,Sheet1!$A$5:$C$192,3,TRUE)</f>
        <v>1</v>
      </c>
      <c r="K242" s="42" t="str">
        <f>VLOOKUP($D242,Sheet1!$A$5:$C$192,2,TRUE)</f>
        <v>|(</v>
      </c>
      <c r="L242" s="6">
        <f>FLOOR(VLOOKUP($D242,Sheet1!$D$5:$F$192,3,TRUE),1)</f>
        <v>2</v>
      </c>
      <c r="M242" s="42" t="str">
        <f>VLOOKUP($D242,Sheet1!$D$5:$F$192,2,TRUE)</f>
        <v>|(</v>
      </c>
      <c r="N242" s="23">
        <f>FLOOR(VLOOKUP($D242,Sheet1!$G$5:$I$192,3,TRUE),1)</f>
        <v>3</v>
      </c>
      <c r="O242" s="42" t="str">
        <f>VLOOKUP($D242,Sheet1!$G$5:$I$192,2,TRUE)</f>
        <v>|(</v>
      </c>
      <c r="P242" s="23">
        <v>1</v>
      </c>
      <c r="Q242" s="43" t="str">
        <f>VLOOKUP($D242,Sheet1!$J$5:$L$192,2,TRUE)</f>
        <v>|('</v>
      </c>
      <c r="R242" s="23">
        <f>FLOOR(VLOOKUP($D242,Sheet1!$M$5:$O$192,3,TRUE),1)</f>
        <v>13</v>
      </c>
      <c r="S242" s="42" t="str">
        <f>VLOOKUP($D242,Sheet1!$M$5:$O$192,2,TRUE)</f>
        <v>|('</v>
      </c>
      <c r="T242" s="117">
        <f>IF(ABS(D242-VLOOKUP($D242,Sheet1!$M$5:$T$192,8,TRUE))&lt;10^-10,"SoCA",D242-VLOOKUP($D242,Sheet1!$M$5:$T$192,8,TRUE))</f>
        <v>-4.3560333369315529E-2</v>
      </c>
      <c r="U242" s="109">
        <f>IF(VLOOKUP($D242,Sheet1!$M$5:$U$192,9,TRUE)=0,"",IF(ABS(D242-VLOOKUP($D242,Sheet1!$M$5:$U$192,9,TRUE))&lt;10^-10,"Alt.",D242-VLOOKUP($D242,Sheet1!$M$5:$U$192,9,TRUE)))</f>
        <v>-1.6600038166881603E-2</v>
      </c>
      <c r="V242" s="132">
        <f>$D242-Sheet1!$M$3*$R242</f>
        <v>-0.20598221617630763</v>
      </c>
      <c r="Z242" s="6"/>
      <c r="AA242" s="61"/>
    </row>
    <row r="243" spans="1:27" ht="13.5">
      <c r="A243" s="6" t="s">
        <v>1897</v>
      </c>
      <c r="B243">
        <v>13238272</v>
      </c>
      <c r="C243">
        <v>13286025</v>
      </c>
      <c r="D243" s="13">
        <f t="shared" si="6"/>
        <v>6.2336588121648573</v>
      </c>
      <c r="E243" s="61" t="s">
        <v>1931</v>
      </c>
      <c r="F243" s="65">
        <v>227.67468707471116</v>
      </c>
      <c r="G243" s="59">
        <v>1734</v>
      </c>
      <c r="H243" s="63">
        <v>1000102</v>
      </c>
      <c r="I243" s="65">
        <v>11.616170916479501</v>
      </c>
      <c r="J243" s="6">
        <f>VLOOKUP($D243,Sheet1!$A$5:$C$192,3,TRUE)</f>
        <v>1</v>
      </c>
      <c r="K243" s="42" t="str">
        <f>VLOOKUP($D243,Sheet1!$A$5:$C$192,2,TRUE)</f>
        <v>|(</v>
      </c>
      <c r="L243" s="6">
        <f>FLOOR(VLOOKUP($D243,Sheet1!$D$5:$F$192,3,TRUE),1)</f>
        <v>2</v>
      </c>
      <c r="M243" s="42" t="str">
        <f>VLOOKUP($D243,Sheet1!$D$5:$F$192,2,TRUE)</f>
        <v>|(</v>
      </c>
      <c r="N243" s="23">
        <f>FLOOR(VLOOKUP($D243,Sheet1!$G$5:$I$192,3,TRUE),1)</f>
        <v>3</v>
      </c>
      <c r="O243" s="42" t="str">
        <f>VLOOKUP($D243,Sheet1!$G$5:$I$192,2,TRUE)</f>
        <v>|(</v>
      </c>
      <c r="P243" s="23">
        <v>1</v>
      </c>
      <c r="Q243" s="43" t="str">
        <f>VLOOKUP($D243,Sheet1!$J$5:$L$192,2,TRUE)</f>
        <v>|('</v>
      </c>
      <c r="R243" s="23">
        <f>FLOOR(VLOOKUP($D243,Sheet1!$M$5:$O$192,3,TRUE),1)</f>
        <v>13</v>
      </c>
      <c r="S243" s="42" t="str">
        <f>VLOOKUP($D243,Sheet1!$M$5:$O$192,2,TRUE)</f>
        <v>|('</v>
      </c>
      <c r="T243" s="117">
        <f>IF(ABS(D243-VLOOKUP($D243,Sheet1!$M$5:$T$192,8,TRUE))&lt;10^-10,"SoCA",D243-VLOOKUP($D243,Sheet1!$M$5:$T$192,8,TRUE))</f>
        <v>5.3140442824831879E-2</v>
      </c>
      <c r="U243" s="109">
        <f>IF(VLOOKUP($D243,Sheet1!$M$5:$U$192,9,TRUE)=0,"",IF(ABS(D243-VLOOKUP($D243,Sheet1!$M$5:$U$192,9,TRUE))&lt;10^-10,"Alt.",D243-VLOOKUP($D243,Sheet1!$M$5:$U$192,9,TRUE)))</f>
        <v>8.0100738027265805E-2</v>
      </c>
      <c r="V243" s="132">
        <f>$D243-Sheet1!$M$3*$R243</f>
        <v>-0.10928143998216022</v>
      </c>
      <c r="Z243" s="6"/>
      <c r="AA243" s="61"/>
    </row>
    <row r="244" spans="1:27" ht="13.5">
      <c r="A244" t="s">
        <v>1098</v>
      </c>
      <c r="B244">
        <v>76112</v>
      </c>
      <c r="C244">
        <v>76383</v>
      </c>
      <c r="D244" s="13">
        <f t="shared" si="6"/>
        <v>6.1531843167200879</v>
      </c>
      <c r="E244" s="61" t="s">
        <v>1931</v>
      </c>
      <c r="F244" s="65">
        <v>5785.8630662119513</v>
      </c>
      <c r="G244" s="6">
        <v>1009</v>
      </c>
      <c r="H244" s="6">
        <v>947</v>
      </c>
      <c r="I244" s="65">
        <v>3.6211260243485839</v>
      </c>
      <c r="J244" s="6">
        <f>VLOOKUP($D244,Sheet1!$A$5:$C$192,3,TRUE)</f>
        <v>1</v>
      </c>
      <c r="K244" s="42" t="str">
        <f>VLOOKUP($D244,Sheet1!$A$5:$C$192,2,TRUE)</f>
        <v>|(</v>
      </c>
      <c r="L244" s="6">
        <f>FLOOR(VLOOKUP($D244,Sheet1!$D$5:$F$192,3,TRUE),1)</f>
        <v>2</v>
      </c>
      <c r="M244" s="42" t="str">
        <f>VLOOKUP($D244,Sheet1!$D$5:$F$192,2,TRUE)</f>
        <v>|(</v>
      </c>
      <c r="N244" s="23">
        <f>FLOOR(VLOOKUP($D244,Sheet1!$G$5:$I$192,3,TRUE),1)</f>
        <v>3</v>
      </c>
      <c r="O244" s="42" t="str">
        <f>VLOOKUP($D244,Sheet1!$G$5:$I$192,2,TRUE)</f>
        <v>|(</v>
      </c>
      <c r="P244" s="23">
        <v>1</v>
      </c>
      <c r="Q244" s="43" t="str">
        <f>VLOOKUP($D244,Sheet1!$J$5:$L$192,2,TRUE)</f>
        <v>|('</v>
      </c>
      <c r="R244" s="23">
        <f>FLOOR(VLOOKUP($D244,Sheet1!$M$5:$O$192,3,TRUE),1)</f>
        <v>13</v>
      </c>
      <c r="S244" s="42" t="str">
        <f>VLOOKUP($D244,Sheet1!$M$5:$O$192,2,TRUE)</f>
        <v>|('</v>
      </c>
      <c r="T244" s="117">
        <f>IF(ABS(D244-VLOOKUP($D244,Sheet1!$M$5:$T$192,8,TRUE))&lt;10^-10,"SoCA",D244-VLOOKUP($D244,Sheet1!$M$5:$T$192,8,TRUE))</f>
        <v>-2.7334052619937488E-2</v>
      </c>
      <c r="U244" s="109">
        <f>IF(VLOOKUP($D244,Sheet1!$M$5:$U$192,9,TRUE)=0,"",IF(ABS(D244-VLOOKUP($D244,Sheet1!$M$5:$U$192,9,TRUE))&lt;10^-10,"Alt.",D244-VLOOKUP($D244,Sheet1!$M$5:$U$192,9,TRUE)))</f>
        <v>-3.7375741750356184E-4</v>
      </c>
      <c r="V244" s="132">
        <f>$D244-Sheet1!$M$3*$R244</f>
        <v>-0.18975593542692959</v>
      </c>
      <c r="Z244" s="6"/>
      <c r="AA244" s="61"/>
    </row>
    <row r="245" spans="1:27" ht="13.5">
      <c r="A245" t="s">
        <v>1095</v>
      </c>
      <c r="B245">
        <v>33389152</v>
      </c>
      <c r="C245">
        <v>33510753</v>
      </c>
      <c r="D245" s="13">
        <f t="shared" si="6"/>
        <v>6.2935821342212979</v>
      </c>
      <c r="E245" s="61" t="s">
        <v>1931</v>
      </c>
      <c r="F245" s="65">
        <v>1457125.1066635035</v>
      </c>
      <c r="G245" s="6">
        <v>1007</v>
      </c>
      <c r="H245" s="6">
        <v>944</v>
      </c>
      <c r="I245" s="65">
        <v>3.6124812192279374</v>
      </c>
      <c r="J245" s="6">
        <f>VLOOKUP($D245,Sheet1!$A$5:$C$192,3,TRUE)</f>
        <v>1</v>
      </c>
      <c r="K245" s="42" t="str">
        <f>VLOOKUP($D245,Sheet1!$A$5:$C$192,2,TRUE)</f>
        <v>|(</v>
      </c>
      <c r="L245" s="6">
        <f>FLOOR(VLOOKUP($D245,Sheet1!$D$5:$F$192,3,TRUE),1)</f>
        <v>2</v>
      </c>
      <c r="M245" s="42" t="str">
        <f>VLOOKUP($D245,Sheet1!$D$5:$F$192,2,TRUE)</f>
        <v>|(</v>
      </c>
      <c r="N245" s="23">
        <f>FLOOR(VLOOKUP($D245,Sheet1!$G$5:$I$192,3,TRUE),1)</f>
        <v>3</v>
      </c>
      <c r="O245" s="42" t="str">
        <f>VLOOKUP($D245,Sheet1!$G$5:$I$192,2,TRUE)</f>
        <v>|(</v>
      </c>
      <c r="P245" s="23">
        <v>1</v>
      </c>
      <c r="Q245" s="43" t="str">
        <f>VLOOKUP($D245,Sheet1!$J$5:$L$192,2,TRUE)</f>
        <v>|('</v>
      </c>
      <c r="R245" s="23">
        <f>FLOOR(VLOOKUP($D245,Sheet1!$M$5:$O$192,3,TRUE),1)</f>
        <v>13</v>
      </c>
      <c r="S245" s="42" t="str">
        <f>VLOOKUP($D245,Sheet1!$M$5:$O$192,2,TRUE)</f>
        <v>|('</v>
      </c>
      <c r="T245" s="117">
        <f>IF(ABS(D245-VLOOKUP($D245,Sheet1!$M$5:$T$192,8,TRUE))&lt;10^-10,"SoCA",D245-VLOOKUP($D245,Sheet1!$M$5:$T$192,8,TRUE))</f>
        <v>0.11306376488127245</v>
      </c>
      <c r="U245" s="109">
        <f>IF(VLOOKUP($D245,Sheet1!$M$5:$U$192,9,TRUE)=0,"",IF(ABS(D245-VLOOKUP($D245,Sheet1!$M$5:$U$192,9,TRUE))&lt;10^-10,"Alt.",D245-VLOOKUP($D245,Sheet1!$M$5:$U$192,9,TRUE)))</f>
        <v>0.14002406008370638</v>
      </c>
      <c r="V245" s="132">
        <f>$D245-Sheet1!$M$3*$R245</f>
        <v>-4.9358117925719647E-2</v>
      </c>
      <c r="Z245" s="6"/>
      <c r="AA245" s="61"/>
    </row>
    <row r="246" spans="1:27" ht="13.5">
      <c r="A246" s="36" t="s">
        <v>31</v>
      </c>
      <c r="B246" s="36">
        <f>3*5*17</f>
        <v>255</v>
      </c>
      <c r="C246" s="36">
        <f>2^8</f>
        <v>256</v>
      </c>
      <c r="D246" s="13">
        <f t="shared" si="6"/>
        <v>6.7758757693704501</v>
      </c>
      <c r="E246" s="61">
        <v>17</v>
      </c>
      <c r="F246" s="65">
        <v>30.841000373868621</v>
      </c>
      <c r="G246" s="6">
        <v>108</v>
      </c>
      <c r="H246" s="6">
        <v>99</v>
      </c>
      <c r="I246" s="65">
        <v>-1.4172153569795725</v>
      </c>
      <c r="J246" s="6">
        <f>VLOOKUP($D246,Sheet1!$A$5:$C$192,3,TRUE)</f>
        <v>1</v>
      </c>
      <c r="K246" s="42" t="str">
        <f>VLOOKUP($D246,Sheet1!$A$5:$C$192,2,TRUE)</f>
        <v>|(</v>
      </c>
      <c r="L246" s="6">
        <f>FLOOR(VLOOKUP($D246,Sheet1!$D$5:$F$192,3,TRUE),1)</f>
        <v>3</v>
      </c>
      <c r="M246" s="42" t="str">
        <f>VLOOKUP($D246,Sheet1!$D$5:$F$192,2,TRUE)</f>
        <v>~|</v>
      </c>
      <c r="N246" s="39">
        <f>FLOOR(VLOOKUP($D246,Sheet1!$G$5:$I$192,3,TRUE),1)</f>
        <v>4</v>
      </c>
      <c r="O246" s="44" t="str">
        <f>VLOOKUP($D246,Sheet1!$G$5:$I$192,2,TRUE)</f>
        <v>.~|</v>
      </c>
      <c r="P246" s="39">
        <v>1</v>
      </c>
      <c r="Q246" s="44" t="str">
        <f>VLOOKUP($D246,Sheet1!$J$5:$L$192,2,TRUE)</f>
        <v>.~|</v>
      </c>
      <c r="R246" s="39">
        <f>FLOOR(VLOOKUP($D246,Sheet1!$M$5:$O$192,3,TRUE),1)</f>
        <v>14</v>
      </c>
      <c r="S246" s="44" t="str">
        <f>VLOOKUP($D246,Sheet1!$M$5:$O$192,2,TRUE)</f>
        <v>.~|</v>
      </c>
      <c r="T246" s="113" t="str">
        <f>IF(ABS(D246-VLOOKUP($D246,Sheet1!$M$5:$T$192,8,TRUE))&lt;10^-10,"SoCA",D246-VLOOKUP($D246,Sheet1!$M$5:$T$192,8,TRUE))</f>
        <v>SoCA</v>
      </c>
      <c r="U246" s="118" t="str">
        <f>IF(VLOOKUP($D246,Sheet1!$M$5:$U$192,9,TRUE)=0,"",IF(ABS(D246-VLOOKUP($D246,Sheet1!$M$5:$U$192,9,TRUE))&lt;10^-10,"Alt.",D246-VLOOKUP($D246,Sheet1!$M$5:$U$192,9,TRUE)))</f>
        <v/>
      </c>
      <c r="V246" s="136">
        <f>$D246-Sheet1!$M$3*$R246</f>
        <v>-5.4982963710952681E-2</v>
      </c>
      <c r="Z246" s="6"/>
      <c r="AA246" s="61"/>
    </row>
    <row r="247" spans="1:27" ht="13.5">
      <c r="A247" s="23" t="s">
        <v>521</v>
      </c>
      <c r="B247" s="23">
        <f>2^10*13</f>
        <v>13312</v>
      </c>
      <c r="C247" s="23">
        <f>3^5*5*11</f>
        <v>13365</v>
      </c>
      <c r="D247" s="13">
        <f t="shared" si="6"/>
        <v>6.8789987872180518</v>
      </c>
      <c r="E247" s="61">
        <v>13</v>
      </c>
      <c r="F247" s="65">
        <v>35.329826204944858</v>
      </c>
      <c r="G247" s="6">
        <v>385</v>
      </c>
      <c r="H247" s="6">
        <v>363</v>
      </c>
      <c r="I247" s="65">
        <v>4.5764349831139421</v>
      </c>
      <c r="J247" s="6">
        <f>VLOOKUP($D247,Sheet1!$A$5:$C$192,3,TRUE)</f>
        <v>1</v>
      </c>
      <c r="K247" s="42" t="str">
        <f>VLOOKUP($D247,Sheet1!$A$5:$C$192,2,TRUE)</f>
        <v>|(</v>
      </c>
      <c r="L247" s="6">
        <f>FLOOR(VLOOKUP($D247,Sheet1!$D$5:$F$192,3,TRUE),1)</f>
        <v>3</v>
      </c>
      <c r="M247" s="42" t="str">
        <f>VLOOKUP($D247,Sheet1!$D$5:$F$192,2,TRUE)</f>
        <v>~|</v>
      </c>
      <c r="N247" s="23">
        <f>FLOOR(VLOOKUP($D247,Sheet1!$G$5:$I$192,3,TRUE),1)</f>
        <v>4</v>
      </c>
      <c r="O247" s="42" t="str">
        <f>VLOOKUP($D247,Sheet1!$G$5:$I$192,2,TRUE)</f>
        <v>.~|</v>
      </c>
      <c r="P247" s="23">
        <v>1</v>
      </c>
      <c r="Q247" s="43" t="str">
        <f>VLOOKUP($D247,Sheet1!$J$5:$L$192,2,TRUE)</f>
        <v>.~|</v>
      </c>
      <c r="R247" s="23">
        <f>FLOOR(VLOOKUP($D247,Sheet1!$M$5:$O$192,3,TRUE),1)</f>
        <v>14</v>
      </c>
      <c r="S247" s="43" t="str">
        <f>VLOOKUP($D247,Sheet1!$M$5:$O$192,2,TRUE)</f>
        <v>.~|</v>
      </c>
      <c r="T247" s="117">
        <f>IF(ABS(D247-VLOOKUP($D247,Sheet1!$M$5:$T$192,8,TRUE))&lt;10^-10,"SoCA",D247-VLOOKUP($D247,Sheet1!$M$5:$T$192,8,TRUE))</f>
        <v>0.10312301784746403</v>
      </c>
      <c r="U247" s="117" t="str">
        <f>IF(VLOOKUP($D247,Sheet1!$M$5:$U$192,9,TRUE)=0,"",IF(ABS(D247-VLOOKUP($D247,Sheet1!$M$5:$U$192,9,TRUE))&lt;10^-10,"Alt.",D247-VLOOKUP($D247,Sheet1!$M$5:$U$192,9,TRUE)))</f>
        <v/>
      </c>
      <c r="V247" s="132">
        <f>$D247-Sheet1!$M$3*$R247</f>
        <v>4.8140054136649013E-2</v>
      </c>
      <c r="Z247" s="6"/>
      <c r="AA247" s="61"/>
    </row>
    <row r="248" spans="1:27" ht="13.5">
      <c r="A248" s="127" t="s">
        <v>1175</v>
      </c>
      <c r="B248" s="127">
        <v>10773</v>
      </c>
      <c r="C248" s="127">
        <v>10816</v>
      </c>
      <c r="D248" s="13">
        <f t="shared" si="6"/>
        <v>6.8963974756438962</v>
      </c>
      <c r="E248" s="61">
        <v>19</v>
      </c>
      <c r="F248" s="65">
        <v>52.412912108730865</v>
      </c>
      <c r="G248" s="6">
        <v>1078</v>
      </c>
      <c r="H248" s="6">
        <v>1024</v>
      </c>
      <c r="I248" s="65">
        <v>-4.42463631751931</v>
      </c>
      <c r="J248" s="6">
        <f>VLOOKUP($D248,Sheet1!$A$5:$C$192,3,TRUE)</f>
        <v>1</v>
      </c>
      <c r="K248" s="42" t="str">
        <f>VLOOKUP($D248,Sheet1!$A$5:$C$192,2,TRUE)</f>
        <v>|(</v>
      </c>
      <c r="L248" s="6">
        <f>FLOOR(VLOOKUP($D248,Sheet1!$D$5:$F$192,3,TRUE),1)</f>
        <v>3</v>
      </c>
      <c r="M248" s="42" t="str">
        <f>VLOOKUP($D248,Sheet1!$D$5:$F$192,2,TRUE)</f>
        <v>~|</v>
      </c>
      <c r="N248" s="23">
        <f>FLOOR(VLOOKUP($D248,Sheet1!$G$5:$I$192,3,TRUE),1)</f>
        <v>4</v>
      </c>
      <c r="O248" s="42" t="str">
        <f>VLOOKUP($D248,Sheet1!$G$5:$I$192,2,TRUE)</f>
        <v>.~|</v>
      </c>
      <c r="P248" s="23">
        <v>1</v>
      </c>
      <c r="Q248" s="43" t="str">
        <f>VLOOKUP($D248,Sheet1!$J$5:$L$192,2,TRUE)</f>
        <v>.~|</v>
      </c>
      <c r="R248" s="23">
        <f>FLOOR(VLOOKUP($D248,Sheet1!$M$5:$O$192,3,TRUE),1)</f>
        <v>14</v>
      </c>
      <c r="S248" s="43" t="str">
        <f>VLOOKUP($D248,Sheet1!$M$5:$O$192,2,TRUE)</f>
        <v>.~|</v>
      </c>
      <c r="T248" s="117">
        <f>IF(ABS(D248-VLOOKUP($D248,Sheet1!$M$5:$T$192,8,TRUE))&lt;10^-10,"SoCA",D248-VLOOKUP($D248,Sheet1!$M$5:$T$192,8,TRUE))</f>
        <v>0.12052170627330838</v>
      </c>
      <c r="U248" s="117" t="str">
        <f>IF(VLOOKUP($D248,Sheet1!$M$5:$U$192,9,TRUE)=0,"",IF(ABS(D248-VLOOKUP($D248,Sheet1!$M$5:$U$192,9,TRUE))&lt;10^-10,"Alt.",D248-VLOOKUP($D248,Sheet1!$M$5:$U$192,9,TRUE)))</f>
        <v/>
      </c>
      <c r="V248" s="132">
        <f>$D248-Sheet1!$M$3*$R248</f>
        <v>6.5538742562493368E-2</v>
      </c>
      <c r="Z248" s="6"/>
      <c r="AA248" s="61"/>
    </row>
    <row r="249" spans="1:27" ht="13.5">
      <c r="A249" s="23" t="s">
        <v>608</v>
      </c>
      <c r="B249" s="23">
        <f>2^2*5*13</f>
        <v>260</v>
      </c>
      <c r="C249" s="23">
        <f>3^2*29</f>
        <v>261</v>
      </c>
      <c r="D249" s="13">
        <f t="shared" si="6"/>
        <v>6.6458202497159471</v>
      </c>
      <c r="E249" s="61">
        <v>29</v>
      </c>
      <c r="F249" s="65">
        <v>56.475378742245312</v>
      </c>
      <c r="G249" s="6">
        <v>499</v>
      </c>
      <c r="H249" s="6">
        <v>453</v>
      </c>
      <c r="I249" s="65">
        <v>1.5907926351836101</v>
      </c>
      <c r="J249" s="6">
        <f>VLOOKUP($D249,Sheet1!$A$5:$C$192,3,TRUE)</f>
        <v>1</v>
      </c>
      <c r="K249" s="42" t="str">
        <f>VLOOKUP($D249,Sheet1!$A$5:$C$192,2,TRUE)</f>
        <v>|(</v>
      </c>
      <c r="L249" s="6">
        <f>FLOOR(VLOOKUP($D249,Sheet1!$D$5:$F$192,3,TRUE),1)</f>
        <v>3</v>
      </c>
      <c r="M249" s="42" t="str">
        <f>VLOOKUP($D249,Sheet1!$D$5:$F$192,2,TRUE)</f>
        <v>~|</v>
      </c>
      <c r="N249" s="23">
        <f>FLOOR(VLOOKUP($D249,Sheet1!$G$5:$I$192,3,TRUE),1)</f>
        <v>4</v>
      </c>
      <c r="O249" s="42" t="str">
        <f>VLOOKUP($D249,Sheet1!$G$5:$I$192,2,TRUE)</f>
        <v>.~|</v>
      </c>
      <c r="P249" s="23">
        <v>1</v>
      </c>
      <c r="Q249" s="43" t="str">
        <f>VLOOKUP($D249,Sheet1!$J$5:$L$192,2,TRUE)</f>
        <v>.~|</v>
      </c>
      <c r="R249" s="23">
        <f>FLOOR(VLOOKUP($D249,Sheet1!$M$5:$O$192,3,TRUE),1)</f>
        <v>14</v>
      </c>
      <c r="S249" s="43" t="str">
        <f>VLOOKUP($D249,Sheet1!$M$5:$O$192,2,TRUE)</f>
        <v>.~|</v>
      </c>
      <c r="T249" s="117">
        <f>IF(ABS(D249-VLOOKUP($D249,Sheet1!$M$5:$T$192,8,TRUE))&lt;10^-10,"SoCA",D249-VLOOKUP($D249,Sheet1!$M$5:$T$192,8,TRUE))</f>
        <v>-0.13005551965464068</v>
      </c>
      <c r="U249" s="117" t="str">
        <f>IF(VLOOKUP($D249,Sheet1!$M$5:$U$192,9,TRUE)=0,"",IF(ABS(D249-VLOOKUP($D249,Sheet1!$M$5:$U$192,9,TRUE))&lt;10^-10,"Alt.",D249-VLOOKUP($D249,Sheet1!$M$5:$U$192,9,TRUE)))</f>
        <v/>
      </c>
      <c r="V249" s="132">
        <f>$D249-Sheet1!$M$3*$R249</f>
        <v>-0.1850384833654557</v>
      </c>
      <c r="Z249" s="6"/>
      <c r="AA249" s="61"/>
    </row>
    <row r="250" spans="1:27" ht="13.5">
      <c r="A250" s="127" t="s">
        <v>1376</v>
      </c>
      <c r="B250" s="127">
        <v>991232</v>
      </c>
      <c r="C250" s="127">
        <v>995085</v>
      </c>
      <c r="D250" s="13">
        <f t="shared" si="6"/>
        <v>6.7164034314687919</v>
      </c>
      <c r="E250" s="61">
        <v>13</v>
      </c>
      <c r="F250" s="65">
        <v>58.809003075869683</v>
      </c>
      <c r="G250" s="6">
        <v>1286</v>
      </c>
      <c r="H250" s="6">
        <v>1225</v>
      </c>
      <c r="I250" s="65">
        <v>6.5864465715345561</v>
      </c>
      <c r="J250" s="6">
        <f>VLOOKUP($D250,Sheet1!$A$5:$C$192,3,TRUE)</f>
        <v>1</v>
      </c>
      <c r="K250" s="42" t="str">
        <f>VLOOKUP($D250,Sheet1!$A$5:$C$192,2,TRUE)</f>
        <v>|(</v>
      </c>
      <c r="L250" s="6">
        <f>FLOOR(VLOOKUP($D250,Sheet1!$D$5:$F$192,3,TRUE),1)</f>
        <v>3</v>
      </c>
      <c r="M250" s="42" t="str">
        <f>VLOOKUP($D250,Sheet1!$D$5:$F$192,2,TRUE)</f>
        <v>~|</v>
      </c>
      <c r="N250" s="23">
        <f>FLOOR(VLOOKUP($D250,Sheet1!$G$5:$I$192,3,TRUE),1)</f>
        <v>4</v>
      </c>
      <c r="O250" s="42" t="str">
        <f>VLOOKUP($D250,Sheet1!$G$5:$I$192,2,TRUE)</f>
        <v>.~|</v>
      </c>
      <c r="P250" s="23">
        <v>1</v>
      </c>
      <c r="Q250" s="43" t="str">
        <f>VLOOKUP($D250,Sheet1!$J$5:$L$192,2,TRUE)</f>
        <v>.~|</v>
      </c>
      <c r="R250" s="23">
        <f>FLOOR(VLOOKUP($D250,Sheet1!$M$5:$O$192,3,TRUE),1)</f>
        <v>14</v>
      </c>
      <c r="S250" s="43" t="str">
        <f>VLOOKUP($D250,Sheet1!$M$5:$O$192,2,TRUE)</f>
        <v>.~|</v>
      </c>
      <c r="T250" s="117">
        <f>IF(ABS(D250-VLOOKUP($D250,Sheet1!$M$5:$T$192,8,TRUE))&lt;10^-10,"SoCA",D250-VLOOKUP($D250,Sheet1!$M$5:$T$192,8,TRUE))</f>
        <v>-5.9472337901795846E-2</v>
      </c>
      <c r="U250" s="117" t="str">
        <f>IF(VLOOKUP($D250,Sheet1!$M$5:$U$192,9,TRUE)=0,"",IF(ABS(D250-VLOOKUP($D250,Sheet1!$M$5:$U$192,9,TRUE))&lt;10^-10,"Alt.",D250-VLOOKUP($D250,Sheet1!$M$5:$U$192,9,TRUE)))</f>
        <v/>
      </c>
      <c r="V250" s="132">
        <f>$D250-Sheet1!$M$3*$R250</f>
        <v>-0.11445530161261086</v>
      </c>
      <c r="Z250" s="6"/>
      <c r="AA250" s="61"/>
    </row>
    <row r="251" spans="1:27" ht="13.5">
      <c r="A251" s="23" t="s">
        <v>1803</v>
      </c>
      <c r="B251" s="127">
        <v>2293760</v>
      </c>
      <c r="C251" s="127">
        <v>2302911</v>
      </c>
      <c r="D251" s="13">
        <f t="shared" si="6"/>
        <v>6.8930509546122662</v>
      </c>
      <c r="E251" s="61">
        <v>13</v>
      </c>
      <c r="F251" s="65">
        <v>62.536378502800822</v>
      </c>
      <c r="G251" s="59">
        <v>347</v>
      </c>
      <c r="H251" s="63">
        <v>1000008</v>
      </c>
      <c r="I251" s="65">
        <v>10.575569739972646</v>
      </c>
      <c r="J251" s="6">
        <f>VLOOKUP($D251,Sheet1!$A$5:$C$192,3,TRUE)</f>
        <v>1</v>
      </c>
      <c r="K251" s="42" t="str">
        <f>VLOOKUP($D251,Sheet1!$A$5:$C$192,2,TRUE)</f>
        <v>|(</v>
      </c>
      <c r="L251" s="6">
        <f>FLOOR(VLOOKUP($D251,Sheet1!$D$5:$F$192,3,TRUE),1)</f>
        <v>3</v>
      </c>
      <c r="M251" s="42" t="str">
        <f>VLOOKUP($D251,Sheet1!$D$5:$F$192,2,TRUE)</f>
        <v>~|</v>
      </c>
      <c r="N251" s="23">
        <f>FLOOR(VLOOKUP($D251,Sheet1!$G$5:$I$192,3,TRUE),1)</f>
        <v>4</v>
      </c>
      <c r="O251" s="42" t="str">
        <f>VLOOKUP($D251,Sheet1!$G$5:$I$192,2,TRUE)</f>
        <v>.~|</v>
      </c>
      <c r="P251" s="23">
        <v>1</v>
      </c>
      <c r="Q251" s="43" t="str">
        <f>VLOOKUP($D251,Sheet1!$J$5:$L$192,2,TRUE)</f>
        <v>.~|</v>
      </c>
      <c r="R251" s="23">
        <f>FLOOR(VLOOKUP($D251,Sheet1!$M$5:$O$192,3,TRUE),1)</f>
        <v>14</v>
      </c>
      <c r="S251" s="43" t="str">
        <f>VLOOKUP($D251,Sheet1!$M$5:$O$192,2,TRUE)</f>
        <v>.~|</v>
      </c>
      <c r="T251" s="117">
        <f>IF(ABS(D251-VLOOKUP($D251,Sheet1!$M$5:$T$192,8,TRUE))&lt;10^-10,"SoCA",D251-VLOOKUP($D251,Sheet1!$M$5:$T$192,8,TRUE))</f>
        <v>0.11717518524167847</v>
      </c>
      <c r="U251" s="117" t="str">
        <f>IF(VLOOKUP($D251,Sheet1!$M$5:$U$192,9,TRUE)=0,"",IF(ABS(D251-VLOOKUP($D251,Sheet1!$M$5:$U$192,9,TRUE))&lt;10^-10,"Alt.",D251-VLOOKUP($D251,Sheet1!$M$5:$U$192,9,TRUE)))</f>
        <v/>
      </c>
      <c r="V251" s="132">
        <f>$D251-Sheet1!$M$3*$R251</f>
        <v>6.2192221530863456E-2</v>
      </c>
      <c r="Z251" s="6"/>
      <c r="AA251" s="61"/>
    </row>
    <row r="252" spans="1:27" ht="13.5">
      <c r="A252" s="23" t="s">
        <v>735</v>
      </c>
      <c r="B252" s="23">
        <f>7^6</f>
        <v>117649</v>
      </c>
      <c r="C252" s="23">
        <f>2*3^10</f>
        <v>118098</v>
      </c>
      <c r="D252" s="13">
        <f t="shared" si="6"/>
        <v>6.5945698391245209</v>
      </c>
      <c r="E252" s="61">
        <v>7</v>
      </c>
      <c r="F252" s="65">
        <v>111.18093814749771</v>
      </c>
      <c r="G252" s="6">
        <v>412</v>
      </c>
      <c r="H252" s="6">
        <v>580</v>
      </c>
      <c r="I252" s="65">
        <v>9.5939483096791349</v>
      </c>
      <c r="J252" s="6">
        <f>VLOOKUP($D252,Sheet1!$A$5:$C$192,3,TRUE)</f>
        <v>1</v>
      </c>
      <c r="K252" s="42" t="str">
        <f>VLOOKUP($D252,Sheet1!$A$5:$C$192,2,TRUE)</f>
        <v>|(</v>
      </c>
      <c r="L252" s="6">
        <f>FLOOR(VLOOKUP($D252,Sheet1!$D$5:$F$192,3,TRUE),1)</f>
        <v>3</v>
      </c>
      <c r="M252" s="42" t="str">
        <f>VLOOKUP($D252,Sheet1!$D$5:$F$192,2,TRUE)</f>
        <v>~|</v>
      </c>
      <c r="N252" s="23">
        <f>FLOOR(VLOOKUP($D252,Sheet1!$G$5:$I$192,3,TRUE),1)</f>
        <v>4</v>
      </c>
      <c r="O252" s="42" t="str">
        <f>VLOOKUP($D252,Sheet1!$G$5:$I$192,2,TRUE)</f>
        <v>.~|</v>
      </c>
      <c r="P252" s="23">
        <v>1</v>
      </c>
      <c r="Q252" s="43" t="str">
        <f>VLOOKUP($D252,Sheet1!$J$5:$L$192,2,TRUE)</f>
        <v>.~|</v>
      </c>
      <c r="R252" s="23">
        <f>FLOOR(VLOOKUP($D252,Sheet1!$M$5:$O$192,3,TRUE),1)</f>
        <v>14</v>
      </c>
      <c r="S252" s="43" t="str">
        <f>VLOOKUP($D252,Sheet1!$M$5:$O$192,2,TRUE)</f>
        <v>.~|</v>
      </c>
      <c r="T252" s="117">
        <f>IF(ABS(D252-VLOOKUP($D252,Sheet1!$M$5:$T$192,8,TRUE))&lt;10^-10,"SoCA",D252-VLOOKUP($D252,Sheet1!$M$5:$T$192,8,TRUE))</f>
        <v>-0.18130593024606689</v>
      </c>
      <c r="U252" s="117" t="str">
        <f>IF(VLOOKUP($D252,Sheet1!$M$5:$U$192,9,TRUE)=0,"",IF(ABS(D252-VLOOKUP($D252,Sheet1!$M$5:$U$192,9,TRUE))&lt;10^-10,"Alt.",D252-VLOOKUP($D252,Sheet1!$M$5:$U$192,9,TRUE)))</f>
        <v/>
      </c>
      <c r="V252" s="132">
        <f>$D252-Sheet1!$M$3*$R252</f>
        <v>-0.23628889395688191</v>
      </c>
      <c r="Z252" s="6"/>
      <c r="AA252" s="61"/>
    </row>
    <row r="253" spans="1:27" ht="13.5">
      <c r="A253" t="s">
        <v>1558</v>
      </c>
      <c r="B253">
        <v>13122</v>
      </c>
      <c r="C253">
        <v>13175</v>
      </c>
      <c r="D253" s="13">
        <f t="shared" si="6"/>
        <v>6.9784027712279553</v>
      </c>
      <c r="E253" s="61">
        <v>31</v>
      </c>
      <c r="F253" s="65">
        <v>111.19471732400304</v>
      </c>
      <c r="G253" s="6">
        <v>1464</v>
      </c>
      <c r="H253" s="6">
        <v>1407</v>
      </c>
      <c r="I253" s="65">
        <v>-8.4296856823299784</v>
      </c>
      <c r="J253" s="6">
        <f>VLOOKUP($D253,Sheet1!$A$5:$C$192,3,TRUE)</f>
        <v>1</v>
      </c>
      <c r="K253" s="42" t="str">
        <f>VLOOKUP($D253,Sheet1!$A$5:$C$192,2,TRUE)</f>
        <v>|(</v>
      </c>
      <c r="L253" s="6">
        <f>FLOOR(VLOOKUP($D253,Sheet1!$D$5:$F$192,3,TRUE),1)</f>
        <v>3</v>
      </c>
      <c r="M253" s="42" t="str">
        <f>VLOOKUP($D253,Sheet1!$D$5:$F$192,2,TRUE)</f>
        <v>~|</v>
      </c>
      <c r="N253" s="23">
        <f>FLOOR(VLOOKUP($D253,Sheet1!$G$5:$I$192,3,TRUE),1)</f>
        <v>4</v>
      </c>
      <c r="O253" s="42" t="str">
        <f>VLOOKUP($D253,Sheet1!$G$5:$I$192,2,TRUE)</f>
        <v>.~|</v>
      </c>
      <c r="P253" s="23">
        <v>1</v>
      </c>
      <c r="Q253" s="43" t="str">
        <f>VLOOKUP($D253,Sheet1!$J$5:$L$192,2,TRUE)</f>
        <v>.~|</v>
      </c>
      <c r="R253" s="23">
        <f>FLOOR(VLOOKUP($D253,Sheet1!$M$5:$O$192,3,TRUE),1)</f>
        <v>14</v>
      </c>
      <c r="S253" s="42" t="str">
        <f>VLOOKUP($D253,Sheet1!$M$5:$O$192,2,TRUE)</f>
        <v>.~|</v>
      </c>
      <c r="T253" s="117">
        <f>IF(ABS(D253-VLOOKUP($D253,Sheet1!$M$5:$T$192,8,TRUE))&lt;10^-10,"SoCA",D253-VLOOKUP($D253,Sheet1!$M$5:$T$192,8,TRUE))</f>
        <v>0.20252700185736749</v>
      </c>
      <c r="U253" s="109" t="str">
        <f>IF(VLOOKUP($D253,Sheet1!$M$5:$U$192,9,TRUE)=0,"",IF(ABS(D253-VLOOKUP($D253,Sheet1!$M$5:$U$192,9,TRUE))&lt;10^-10,"Alt.",D253-VLOOKUP($D253,Sheet1!$M$5:$U$192,9,TRUE)))</f>
        <v/>
      </c>
      <c r="V253" s="132">
        <f>$D253-Sheet1!$M$3*$R253</f>
        <v>0.14754403814655248</v>
      </c>
      <c r="Z253" s="6"/>
      <c r="AA253" s="61"/>
    </row>
    <row r="254" spans="1:27" ht="13.5">
      <c r="A254" t="s">
        <v>1283</v>
      </c>
      <c r="B254">
        <v>35584</v>
      </c>
      <c r="C254">
        <v>35721</v>
      </c>
      <c r="D254" s="13">
        <f t="shared" si="6"/>
        <v>6.6525308623655794</v>
      </c>
      <c r="E254" s="61" t="s">
        <v>1931</v>
      </c>
      <c r="F254" s="65">
        <v>185.16274544211208</v>
      </c>
      <c r="G254" s="6">
        <v>1189</v>
      </c>
      <c r="H254" s="6">
        <v>1132</v>
      </c>
      <c r="I254" s="65">
        <v>5.5903794383146792</v>
      </c>
      <c r="J254" s="6">
        <f>VLOOKUP($D254,Sheet1!$A$5:$C$192,3,TRUE)</f>
        <v>1</v>
      </c>
      <c r="K254" s="42" t="str">
        <f>VLOOKUP($D254,Sheet1!$A$5:$C$192,2,TRUE)</f>
        <v>|(</v>
      </c>
      <c r="L254" s="6">
        <f>FLOOR(VLOOKUP($D254,Sheet1!$D$5:$F$192,3,TRUE),1)</f>
        <v>3</v>
      </c>
      <c r="M254" s="42" t="str">
        <f>VLOOKUP($D254,Sheet1!$D$5:$F$192,2,TRUE)</f>
        <v>~|</v>
      </c>
      <c r="N254" s="23">
        <f>FLOOR(VLOOKUP($D254,Sheet1!$G$5:$I$192,3,TRUE),1)</f>
        <v>4</v>
      </c>
      <c r="O254" s="42" t="str">
        <f>VLOOKUP($D254,Sheet1!$G$5:$I$192,2,TRUE)</f>
        <v>.~|</v>
      </c>
      <c r="P254" s="23">
        <v>1</v>
      </c>
      <c r="Q254" s="43" t="str">
        <f>VLOOKUP($D254,Sheet1!$J$5:$L$192,2,TRUE)</f>
        <v>.~|</v>
      </c>
      <c r="R254" s="23">
        <f>FLOOR(VLOOKUP($D254,Sheet1!$M$5:$O$192,3,TRUE),1)</f>
        <v>14</v>
      </c>
      <c r="S254" s="42" t="str">
        <f>VLOOKUP($D254,Sheet1!$M$5:$O$192,2,TRUE)</f>
        <v>.~|</v>
      </c>
      <c r="T254" s="117">
        <f>IF(ABS(D254-VLOOKUP($D254,Sheet1!$M$5:$T$192,8,TRUE))&lt;10^-10,"SoCA",D254-VLOOKUP($D254,Sheet1!$M$5:$T$192,8,TRUE))</f>
        <v>-0.12334490700500833</v>
      </c>
      <c r="U254" s="109" t="str">
        <f>IF(VLOOKUP($D254,Sheet1!$M$5:$U$192,9,TRUE)=0,"",IF(ABS(D254-VLOOKUP($D254,Sheet1!$M$5:$U$192,9,TRUE))&lt;10^-10,"Alt.",D254-VLOOKUP($D254,Sheet1!$M$5:$U$192,9,TRUE)))</f>
        <v/>
      </c>
      <c r="V254" s="132">
        <f>$D254-Sheet1!$M$3*$R254</f>
        <v>-0.17832787071582334</v>
      </c>
      <c r="Z254" s="6"/>
      <c r="AA254" s="61"/>
    </row>
    <row r="255" spans="1:27" ht="13.5">
      <c r="A255" s="6" t="s">
        <v>1846</v>
      </c>
      <c r="B255">
        <v>54525952</v>
      </c>
      <c r="C255">
        <v>54738423</v>
      </c>
      <c r="D255" s="13">
        <f t="shared" si="6"/>
        <v>6.7329812352004481</v>
      </c>
      <c r="E255" s="61" t="s">
        <v>1931</v>
      </c>
      <c r="F255" s="65">
        <v>210.46773881939981</v>
      </c>
      <c r="G255" s="59">
        <v>1660</v>
      </c>
      <c r="H255" s="63">
        <v>1000051</v>
      </c>
      <c r="I255" s="65">
        <v>11.585425815762571</v>
      </c>
      <c r="J255" s="6">
        <f>VLOOKUP($D255,Sheet1!$A$5:$C$192,3,TRUE)</f>
        <v>1</v>
      </c>
      <c r="K255" s="42" t="str">
        <f>VLOOKUP($D255,Sheet1!$A$5:$C$192,2,TRUE)</f>
        <v>|(</v>
      </c>
      <c r="L255" s="6">
        <f>FLOOR(VLOOKUP($D255,Sheet1!$D$5:$F$192,3,TRUE),1)</f>
        <v>3</v>
      </c>
      <c r="M255" s="42" t="str">
        <f>VLOOKUP($D255,Sheet1!$D$5:$F$192,2,TRUE)</f>
        <v>~|</v>
      </c>
      <c r="N255" s="23">
        <f>FLOOR(VLOOKUP($D255,Sheet1!$G$5:$I$192,3,TRUE),1)</f>
        <v>4</v>
      </c>
      <c r="O255" s="42" t="str">
        <f>VLOOKUP($D255,Sheet1!$G$5:$I$192,2,TRUE)</f>
        <v>.~|</v>
      </c>
      <c r="P255" s="23">
        <v>1</v>
      </c>
      <c r="Q255" s="43" t="str">
        <f>VLOOKUP($D255,Sheet1!$J$5:$L$192,2,TRUE)</f>
        <v>.~|</v>
      </c>
      <c r="R255" s="23">
        <f>FLOOR(VLOOKUP($D255,Sheet1!$M$5:$O$192,3,TRUE),1)</f>
        <v>14</v>
      </c>
      <c r="S255" s="42" t="str">
        <f>VLOOKUP($D255,Sheet1!$M$5:$O$192,2,TRUE)</f>
        <v>.~|</v>
      </c>
      <c r="T255" s="117">
        <f>IF(ABS(D255-VLOOKUP($D255,Sheet1!$M$5:$T$192,8,TRUE))&lt;10^-10,"SoCA",D255-VLOOKUP($D255,Sheet1!$M$5:$T$192,8,TRUE))</f>
        <v>-4.2894534170139664E-2</v>
      </c>
      <c r="U255" s="109" t="str">
        <f>IF(VLOOKUP($D255,Sheet1!$M$5:$U$192,9,TRUE)=0,"",IF(ABS(D255-VLOOKUP($D255,Sheet1!$M$5:$U$192,9,TRUE))&lt;10^-10,"Alt.",D255-VLOOKUP($D255,Sheet1!$M$5:$U$192,9,TRUE)))</f>
        <v/>
      </c>
      <c r="V255" s="132">
        <f>$D255-Sheet1!$M$3*$R255</f>
        <v>-9.7877497880954678E-2</v>
      </c>
      <c r="Z255" s="6"/>
      <c r="AA255" s="61"/>
    </row>
    <row r="256" spans="1:27" ht="13.5">
      <c r="A256" t="s">
        <v>1475</v>
      </c>
      <c r="B256">
        <v>4084736</v>
      </c>
      <c r="C256">
        <v>4100625</v>
      </c>
      <c r="D256" s="13">
        <f t="shared" si="6"/>
        <v>6.7211726778428371</v>
      </c>
      <c r="E256" s="61" t="s">
        <v>1931</v>
      </c>
      <c r="F256" s="65">
        <v>6424.6703931865104</v>
      </c>
      <c r="G256" s="6">
        <v>1386</v>
      </c>
      <c r="H256" s="6">
        <v>1324</v>
      </c>
      <c r="I256" s="65">
        <v>7.5861529116599957</v>
      </c>
      <c r="J256" s="6">
        <f>VLOOKUP($D256,Sheet1!$A$5:$C$192,3,TRUE)</f>
        <v>1</v>
      </c>
      <c r="K256" s="42" t="str">
        <f>VLOOKUP($D256,Sheet1!$A$5:$C$192,2,TRUE)</f>
        <v>|(</v>
      </c>
      <c r="L256" s="6">
        <f>FLOOR(VLOOKUP($D256,Sheet1!$D$5:$F$192,3,TRUE),1)</f>
        <v>3</v>
      </c>
      <c r="M256" s="42" t="str">
        <f>VLOOKUP($D256,Sheet1!$D$5:$F$192,2,TRUE)</f>
        <v>~|</v>
      </c>
      <c r="N256" s="23">
        <f>FLOOR(VLOOKUP($D256,Sheet1!$G$5:$I$192,3,TRUE),1)</f>
        <v>4</v>
      </c>
      <c r="O256" s="42" t="str">
        <f>VLOOKUP($D256,Sheet1!$G$5:$I$192,2,TRUE)</f>
        <v>.~|</v>
      </c>
      <c r="P256" s="23">
        <v>1</v>
      </c>
      <c r="Q256" s="43" t="str">
        <f>VLOOKUP($D256,Sheet1!$J$5:$L$192,2,TRUE)</f>
        <v>.~|</v>
      </c>
      <c r="R256" s="23">
        <f>FLOOR(VLOOKUP($D256,Sheet1!$M$5:$O$192,3,TRUE),1)</f>
        <v>14</v>
      </c>
      <c r="S256" s="42" t="str">
        <f>VLOOKUP($D256,Sheet1!$M$5:$O$192,2,TRUE)</f>
        <v>.~|</v>
      </c>
      <c r="T256" s="117">
        <f>IF(ABS(D256-VLOOKUP($D256,Sheet1!$M$5:$T$192,8,TRUE))&lt;10^-10,"SoCA",D256-VLOOKUP($D256,Sheet1!$M$5:$T$192,8,TRUE))</f>
        <v>-5.4703091527750658E-2</v>
      </c>
      <c r="U256" s="109" t="str">
        <f>IF(VLOOKUP($D256,Sheet1!$M$5:$U$192,9,TRUE)=0,"",IF(ABS(D256-VLOOKUP($D256,Sheet1!$M$5:$U$192,9,TRUE))&lt;10^-10,"Alt.",D256-VLOOKUP($D256,Sheet1!$M$5:$U$192,9,TRUE)))</f>
        <v/>
      </c>
      <c r="V256" s="132">
        <f>$D256-Sheet1!$M$3*$R256</f>
        <v>-0.10968605523856567</v>
      </c>
      <c r="Z256" s="6"/>
      <c r="AA256" s="61"/>
    </row>
    <row r="257" spans="1:27" ht="13.5">
      <c r="A257" t="s">
        <v>986</v>
      </c>
      <c r="B257">
        <v>42190192</v>
      </c>
      <c r="C257">
        <v>42354711</v>
      </c>
      <c r="D257" s="13">
        <f t="shared" si="6"/>
        <v>6.7377510392708846</v>
      </c>
      <c r="E257" s="61" t="s">
        <v>1931</v>
      </c>
      <c r="F257" s="65">
        <v>21396.38559906296</v>
      </c>
      <c r="G257" s="6">
        <v>899</v>
      </c>
      <c r="H257" s="6">
        <v>834</v>
      </c>
      <c r="I257" s="65">
        <v>2.5851321215486114</v>
      </c>
      <c r="J257" s="6">
        <f>VLOOKUP($D257,Sheet1!$A$5:$C$192,3,TRUE)</f>
        <v>1</v>
      </c>
      <c r="K257" s="42" t="str">
        <f>VLOOKUP($D257,Sheet1!$A$5:$C$192,2,TRUE)</f>
        <v>|(</v>
      </c>
      <c r="L257" s="6">
        <f>FLOOR(VLOOKUP($D257,Sheet1!$D$5:$F$192,3,TRUE),1)</f>
        <v>3</v>
      </c>
      <c r="M257" s="42" t="str">
        <f>VLOOKUP($D257,Sheet1!$D$5:$F$192,2,TRUE)</f>
        <v>~|</v>
      </c>
      <c r="N257" s="23">
        <f>FLOOR(VLOOKUP($D257,Sheet1!$G$5:$I$192,3,TRUE),1)</f>
        <v>4</v>
      </c>
      <c r="O257" s="42" t="str">
        <f>VLOOKUP($D257,Sheet1!$G$5:$I$192,2,TRUE)</f>
        <v>.~|</v>
      </c>
      <c r="P257" s="23">
        <v>1</v>
      </c>
      <c r="Q257" s="43" t="str">
        <f>VLOOKUP($D257,Sheet1!$J$5:$L$192,2,TRUE)</f>
        <v>.~|</v>
      </c>
      <c r="R257" s="23">
        <f>FLOOR(VLOOKUP($D257,Sheet1!$M$5:$O$192,3,TRUE),1)</f>
        <v>14</v>
      </c>
      <c r="S257" s="42" t="str">
        <f>VLOOKUP($D257,Sheet1!$M$5:$O$192,2,TRUE)</f>
        <v>.~|</v>
      </c>
      <c r="T257" s="117">
        <f>IF(ABS(D257-VLOOKUP($D257,Sheet1!$M$5:$T$192,8,TRUE))&lt;10^-10,"SoCA",D257-VLOOKUP($D257,Sheet1!$M$5:$T$192,8,TRUE))</f>
        <v>-3.8124730099703186E-2</v>
      </c>
      <c r="U257" s="109" t="str">
        <f>IF(VLOOKUP($D257,Sheet1!$M$5:$U$192,9,TRUE)=0,"",IF(ABS(D257-VLOOKUP($D257,Sheet1!$M$5:$U$192,9,TRUE))&lt;10^-10,"Alt.",D257-VLOOKUP($D257,Sheet1!$M$5:$U$192,9,TRUE)))</f>
        <v/>
      </c>
      <c r="V257" s="132">
        <f>$D257-Sheet1!$M$3*$R257</f>
        <v>-9.3107693810518199E-2</v>
      </c>
      <c r="Z257" s="6"/>
      <c r="AA257" s="61"/>
    </row>
    <row r="258" spans="1:27" ht="13.5">
      <c r="A258" t="s">
        <v>985</v>
      </c>
      <c r="B258">
        <v>420189749</v>
      </c>
      <c r="C258">
        <v>421875000</v>
      </c>
      <c r="D258" s="13">
        <f t="shared" si="6"/>
        <v>6.9295569281719382</v>
      </c>
      <c r="E258" s="61" t="s">
        <v>1931</v>
      </c>
      <c r="F258" s="65">
        <v>2450218.5402286323</v>
      </c>
      <c r="G258" s="6">
        <v>897</v>
      </c>
      <c r="H258" s="6">
        <v>833</v>
      </c>
      <c r="I258" s="65">
        <v>2.5733219341820757</v>
      </c>
      <c r="J258" s="6">
        <f>VLOOKUP($D258,Sheet1!$A$5:$C$192,3,TRUE)</f>
        <v>1</v>
      </c>
      <c r="K258" s="42" t="str">
        <f>VLOOKUP($D258,Sheet1!$A$5:$C$192,2,TRUE)</f>
        <v>|(</v>
      </c>
      <c r="L258" s="6">
        <f>FLOOR(VLOOKUP($D258,Sheet1!$D$5:$F$192,3,TRUE),1)</f>
        <v>3</v>
      </c>
      <c r="M258" s="42" t="str">
        <f>VLOOKUP($D258,Sheet1!$D$5:$F$192,2,TRUE)</f>
        <v>~|</v>
      </c>
      <c r="N258" s="23">
        <f>FLOOR(VLOOKUP($D258,Sheet1!$G$5:$I$192,3,TRUE),1)</f>
        <v>4</v>
      </c>
      <c r="O258" s="42" t="str">
        <f>VLOOKUP($D258,Sheet1!$G$5:$I$192,2,TRUE)</f>
        <v>.~|</v>
      </c>
      <c r="P258" s="23">
        <v>1</v>
      </c>
      <c r="Q258" s="43" t="str">
        <f>VLOOKUP($D258,Sheet1!$J$5:$L$192,2,TRUE)</f>
        <v>.~|</v>
      </c>
      <c r="R258" s="23">
        <f>FLOOR(VLOOKUP($D258,Sheet1!$M$5:$O$192,3,TRUE),1)</f>
        <v>14</v>
      </c>
      <c r="S258" s="42" t="str">
        <f>VLOOKUP($D258,Sheet1!$M$5:$O$192,2,TRUE)</f>
        <v>.~|</v>
      </c>
      <c r="T258" s="117">
        <f>IF(ABS(D258-VLOOKUP($D258,Sheet1!$M$5:$T$192,8,TRUE))&lt;10^-10,"SoCA",D258-VLOOKUP($D258,Sheet1!$M$5:$T$192,8,TRUE))</f>
        <v>0.15368115880135047</v>
      </c>
      <c r="U258" s="109" t="str">
        <f>IF(VLOOKUP($D258,Sheet1!$M$5:$U$192,9,TRUE)=0,"",IF(ABS(D258-VLOOKUP($D258,Sheet1!$M$5:$U$192,9,TRUE))&lt;10^-10,"Alt.",D258-VLOOKUP($D258,Sheet1!$M$5:$U$192,9,TRUE)))</f>
        <v/>
      </c>
      <c r="V258" s="132">
        <f>$D258-Sheet1!$M$3*$R258</f>
        <v>9.8698195090535457E-2</v>
      </c>
      <c r="Z258" s="6"/>
      <c r="AA258" s="61"/>
    </row>
    <row r="259" spans="1:27" ht="13.5">
      <c r="A259" s="40" t="s">
        <v>33</v>
      </c>
      <c r="B259" s="40">
        <f>2*11^2</f>
        <v>242</v>
      </c>
      <c r="C259" s="40">
        <f>3^5</f>
        <v>243</v>
      </c>
      <c r="D259" s="13">
        <f t="shared" si="6"/>
        <v>7.1391195974238411</v>
      </c>
      <c r="E259" s="61">
        <v>11</v>
      </c>
      <c r="F259" s="65">
        <v>31.288026255112285</v>
      </c>
      <c r="G259" s="6">
        <v>80</v>
      </c>
      <c r="H259" s="6">
        <v>76</v>
      </c>
      <c r="I259" s="65">
        <v>4.5604183971578642</v>
      </c>
      <c r="J259" s="6">
        <f>VLOOKUP($D259,Sheet1!$A$5:$C$192,3,TRUE)</f>
        <v>1</v>
      </c>
      <c r="K259" s="42" t="str">
        <f>VLOOKUP($D259,Sheet1!$A$5:$C$192,2,TRUE)</f>
        <v>|(</v>
      </c>
      <c r="L259" s="6">
        <f>FLOOR(VLOOKUP($D259,Sheet1!$D$5:$F$192,3,TRUE),1)</f>
        <v>3</v>
      </c>
      <c r="M259" s="42" t="str">
        <f>VLOOKUP($D259,Sheet1!$D$5:$F$192,2,TRUE)</f>
        <v>~|</v>
      </c>
      <c r="N259" s="23">
        <f>FLOOR(VLOOKUP($D259,Sheet1!$G$5:$I$192,3,TRUE),1)</f>
        <v>4</v>
      </c>
      <c r="O259" s="42" t="str">
        <f>VLOOKUP($D259,Sheet1!$G$5:$I$192,2,TRUE)</f>
        <v>'|(</v>
      </c>
      <c r="P259" s="23">
        <v>1</v>
      </c>
      <c r="Q259" s="43" t="str">
        <f>VLOOKUP($D259,Sheet1!$J$5:$L$192,2,TRUE)</f>
        <v>'|(.</v>
      </c>
      <c r="R259" s="40">
        <f>FLOOR(VLOOKUP($D259,Sheet1!$M$5:$O$192,3,TRUE),1)</f>
        <v>15</v>
      </c>
      <c r="S259" s="46" t="str">
        <f>VLOOKUP($D259,Sheet1!$M$5:$O$192,2,TRUE)</f>
        <v>.~|'</v>
      </c>
      <c r="T259" s="115">
        <f>IF(ABS(D259-VLOOKUP($D259,Sheet1!$M$5:$T$192,8,TRUE))&lt;10^-10,"SoCA",D259-VLOOKUP($D259,Sheet1!$M$5:$T$192,8,TRUE))</f>
        <v>-5.9472337901571137E-2</v>
      </c>
      <c r="U259" s="115">
        <f>IF(VLOOKUP($D259,Sheet1!$M$5:$U$192,9,TRUE)=0,"",IF(ABS(D259-VLOOKUP($D259,Sheet1!$M$5:$U$192,9,TRUE))&lt;10^-10,"Alt.",D259-VLOOKUP($D259,Sheet1!$M$5:$U$192,9,TRUE)))</f>
        <v>-3.2512042699137211E-2</v>
      </c>
      <c r="V259" s="132">
        <f>$D259-Sheet1!$M$3*$R259</f>
        <v>-0.1796576165919479</v>
      </c>
      <c r="Z259" s="6"/>
      <c r="AA259" s="61"/>
    </row>
    <row r="260" spans="1:27" ht="13.5">
      <c r="A260" s="6" t="s">
        <v>967</v>
      </c>
      <c r="B260" s="6">
        <f>3^6*5^2</f>
        <v>18225</v>
      </c>
      <c r="C260" s="6">
        <f>2^7*11*13</f>
        <v>18304</v>
      </c>
      <c r="D260" s="13">
        <f t="shared" ref="D260:D291" si="7">1200*LN($C260/$B260)/LN(2)</f>
        <v>7.4881712120732447</v>
      </c>
      <c r="E260" s="61">
        <v>13</v>
      </c>
      <c r="F260" s="65">
        <v>35.505513414093592</v>
      </c>
      <c r="G260" s="6">
        <v>690</v>
      </c>
      <c r="H260" s="6">
        <v>815</v>
      </c>
      <c r="I260" s="65">
        <v>-6.4610739824203662</v>
      </c>
      <c r="J260" s="6">
        <f>VLOOKUP($D260,Sheet1!$A$5:$C$192,3,TRUE)</f>
        <v>1</v>
      </c>
      <c r="K260" s="42" t="str">
        <f>VLOOKUP($D260,Sheet1!$A$5:$C$192,2,TRUE)</f>
        <v>|(</v>
      </c>
      <c r="L260" s="6">
        <f>FLOOR(VLOOKUP($D260,Sheet1!$D$5:$F$192,3,TRUE),1)</f>
        <v>3</v>
      </c>
      <c r="M260" s="42" t="str">
        <f>VLOOKUP($D260,Sheet1!$D$5:$F$192,2,TRUE)</f>
        <v>~|</v>
      </c>
      <c r="N260" s="23">
        <f>FLOOR(VLOOKUP($D260,Sheet1!$G$5:$I$192,3,TRUE),1)</f>
        <v>4</v>
      </c>
      <c r="O260" s="42" t="str">
        <f>VLOOKUP($D260,Sheet1!$G$5:$I$192,2,TRUE)</f>
        <v>'|(</v>
      </c>
      <c r="P260" s="23">
        <v>1</v>
      </c>
      <c r="Q260" s="43" t="str">
        <f>VLOOKUP($D260,Sheet1!$J$5:$L$192,2,TRUE)</f>
        <v>'|(.</v>
      </c>
      <c r="R260" s="23">
        <f>FLOOR(VLOOKUP($D260,Sheet1!$M$5:$O$192,3,TRUE),1)</f>
        <v>15</v>
      </c>
      <c r="S260" s="42" t="str">
        <f>VLOOKUP($D260,Sheet1!$M$5:$O$192,2,TRUE)</f>
        <v>'|(.</v>
      </c>
      <c r="T260" s="117">
        <f>IF(ABS(D260-VLOOKUP($D260,Sheet1!$M$5:$T$192,8,TRUE))&lt;10^-10,"SoCA",D260-VLOOKUP($D260,Sheet1!$M$5:$T$192,8,TRUE))</f>
        <v>0.19936438670870871</v>
      </c>
      <c r="U260" s="109">
        <f>IF(VLOOKUP($D260,Sheet1!$M$5:$U$192,9,TRUE)=0,"",IF(ABS(D260-VLOOKUP($D260,Sheet1!$M$5:$U$192,9,TRUE))&lt;10^-10,"Alt.",D260-VLOOKUP($D260,Sheet1!$M$5:$U$192,9,TRUE)))</f>
        <v>0.17240409150627478</v>
      </c>
      <c r="V260" s="132">
        <f>$D260-Sheet1!$M$3*$R260</f>
        <v>0.1693939980574557</v>
      </c>
      <c r="Z260" s="6"/>
      <c r="AA260" s="61"/>
    </row>
    <row r="261" spans="1:27" ht="13.5">
      <c r="A261" s="38" t="s">
        <v>317</v>
      </c>
      <c r="B261" s="38">
        <f>2^4*5^2*7^2</f>
        <v>19600</v>
      </c>
      <c r="C261" s="38">
        <f>3^9</f>
        <v>19683</v>
      </c>
      <c r="D261" s="13">
        <f t="shared" si="7"/>
        <v>7.3157671205673074</v>
      </c>
      <c r="E261" s="61">
        <v>7</v>
      </c>
      <c r="F261" s="65">
        <v>51.179565735408126</v>
      </c>
      <c r="G261" s="6">
        <v>131</v>
      </c>
      <c r="H261" s="6">
        <v>148</v>
      </c>
      <c r="I261" s="65">
        <v>8.5495415655959555</v>
      </c>
      <c r="J261" s="6">
        <f>VLOOKUP($D261,Sheet1!$A$5:$C$192,3,TRUE)</f>
        <v>1</v>
      </c>
      <c r="K261" s="42" t="str">
        <f>VLOOKUP($D261,Sheet1!$A$5:$C$192,2,TRUE)</f>
        <v>|(</v>
      </c>
      <c r="L261" s="6">
        <f>FLOOR(VLOOKUP($D261,Sheet1!$D$5:$F$192,3,TRUE),1)</f>
        <v>3</v>
      </c>
      <c r="M261" s="42" t="str">
        <f>VLOOKUP($D261,Sheet1!$D$5:$F$192,2,TRUE)</f>
        <v>~|</v>
      </c>
      <c r="N261" s="23">
        <f>FLOOR(VLOOKUP($D261,Sheet1!$G$5:$I$192,3,TRUE),1)</f>
        <v>4</v>
      </c>
      <c r="O261" s="42" t="str">
        <f>VLOOKUP($D261,Sheet1!$G$5:$I$192,2,TRUE)</f>
        <v>'|(</v>
      </c>
      <c r="P261" s="23">
        <v>1</v>
      </c>
      <c r="Q261" s="45" t="str">
        <f>VLOOKUP($D261,Sheet1!$J$5:$L$192,2,TRUE)</f>
        <v>'|(.</v>
      </c>
      <c r="R261" s="38">
        <f>FLOOR(VLOOKUP($D261,Sheet1!$M$5:$O$192,3,TRUE),1)</f>
        <v>15</v>
      </c>
      <c r="S261" s="45" t="str">
        <f>VLOOKUP($D261,Sheet1!$M$5:$O$192,2,TRUE)</f>
        <v>'|(.</v>
      </c>
      <c r="T261" s="108">
        <f>IF(ABS(D261-VLOOKUP($D261,Sheet1!$M$5:$T$192,8,TRUE))&lt;10^-10,"SoCA",D261-VLOOKUP($D261,Sheet1!$M$5:$T$192,8,TRUE))</f>
        <v>2.6960295202771434E-2</v>
      </c>
      <c r="U261" s="112" t="str">
        <f>IF(VLOOKUP($D261,Sheet1!$M$5:$U$192,9,TRUE)=0,"",IF(ABS(D261-VLOOKUP($D261,Sheet1!$M$5:$U$192,9,TRUE))&lt;10^-10,"Alt.",D261-VLOOKUP($D261,Sheet1!$M$5:$U$192,9,TRUE)))</f>
        <v>Alt.</v>
      </c>
      <c r="V261" s="133">
        <f>$D261-Sheet1!$M$3*$R261</f>
        <v>-3.0100934484815767E-3</v>
      </c>
      <c r="Z261" s="6"/>
      <c r="AA261" s="61"/>
    </row>
    <row r="262" spans="1:27" ht="13.5">
      <c r="A262" t="s">
        <v>867</v>
      </c>
      <c r="B262">
        <v>231</v>
      </c>
      <c r="C262">
        <v>232</v>
      </c>
      <c r="D262" s="13">
        <f t="shared" si="7"/>
        <v>7.4783444538174297</v>
      </c>
      <c r="E262" s="61">
        <v>29</v>
      </c>
      <c r="F262" s="65">
        <v>56.451082510495553</v>
      </c>
      <c r="G262" s="6">
        <v>778</v>
      </c>
      <c r="H262" s="6">
        <v>714</v>
      </c>
      <c r="I262" s="65">
        <v>-1.4604689131137263</v>
      </c>
      <c r="J262" s="6">
        <f>VLOOKUP($D262,Sheet1!$A$5:$C$192,3,TRUE)</f>
        <v>1</v>
      </c>
      <c r="K262" s="42" t="str">
        <f>VLOOKUP($D262,Sheet1!$A$5:$C$192,2,TRUE)</f>
        <v>|(</v>
      </c>
      <c r="L262" s="6">
        <f>FLOOR(VLOOKUP($D262,Sheet1!$D$5:$F$192,3,TRUE),1)</f>
        <v>3</v>
      </c>
      <c r="M262" s="42" t="str">
        <f>VLOOKUP($D262,Sheet1!$D$5:$F$192,2,TRUE)</f>
        <v>~|</v>
      </c>
      <c r="N262" s="23">
        <f>FLOOR(VLOOKUP($D262,Sheet1!$G$5:$I$192,3,TRUE),1)</f>
        <v>4</v>
      </c>
      <c r="O262" s="42" t="str">
        <f>VLOOKUP($D262,Sheet1!$G$5:$I$192,2,TRUE)</f>
        <v>'|(</v>
      </c>
      <c r="P262" s="23">
        <v>1</v>
      </c>
      <c r="Q262" s="43" t="str">
        <f>VLOOKUP($D262,Sheet1!$J$5:$L$192,2,TRUE)</f>
        <v>'|(.</v>
      </c>
      <c r="R262" s="23">
        <f>FLOOR(VLOOKUP($D262,Sheet1!$M$5:$O$192,3,TRUE),1)</f>
        <v>15</v>
      </c>
      <c r="S262" s="42" t="str">
        <f>VLOOKUP($D262,Sheet1!$M$5:$O$192,2,TRUE)</f>
        <v>'|(.</v>
      </c>
      <c r="T262" s="117">
        <f>IF(ABS(D262-VLOOKUP($D262,Sheet1!$M$5:$T$192,8,TRUE))&lt;10^-10,"SoCA",D262-VLOOKUP($D262,Sheet1!$M$5:$T$192,8,TRUE))</f>
        <v>0.18953762845289379</v>
      </c>
      <c r="U262" s="109">
        <f>IF(VLOOKUP($D262,Sheet1!$M$5:$U$192,9,TRUE)=0,"",IF(ABS(D262-VLOOKUP($D262,Sheet1!$M$5:$U$192,9,TRUE))&lt;10^-10,"Alt.",D262-VLOOKUP($D262,Sheet1!$M$5:$U$192,9,TRUE)))</f>
        <v>0.16257733325045987</v>
      </c>
      <c r="V262" s="132">
        <f>$D262-Sheet1!$M$3*$R262</f>
        <v>0.15956723980164078</v>
      </c>
      <c r="Z262" s="6"/>
      <c r="AA262" s="61"/>
    </row>
    <row r="263" spans="1:27" ht="13.5">
      <c r="A263" t="s">
        <v>1569</v>
      </c>
      <c r="B263">
        <v>4096000</v>
      </c>
      <c r="C263">
        <v>4113747</v>
      </c>
      <c r="D263" s="13">
        <f t="shared" si="7"/>
        <v>7.4848246910417338</v>
      </c>
      <c r="E263" s="61">
        <v>19</v>
      </c>
      <c r="F263" s="65">
        <v>63.400940289338017</v>
      </c>
      <c r="G263" s="6">
        <v>1475</v>
      </c>
      <c r="H263" s="6">
        <v>1418</v>
      </c>
      <c r="I263" s="65">
        <v>8.5391320750715831</v>
      </c>
      <c r="J263" s="6">
        <f>VLOOKUP($D263,Sheet1!$A$5:$C$192,3,TRUE)</f>
        <v>1</v>
      </c>
      <c r="K263" s="42" t="str">
        <f>VLOOKUP($D263,Sheet1!$A$5:$C$192,2,TRUE)</f>
        <v>|(</v>
      </c>
      <c r="L263" s="6">
        <f>FLOOR(VLOOKUP($D263,Sheet1!$D$5:$F$192,3,TRUE),1)</f>
        <v>3</v>
      </c>
      <c r="M263" s="42" t="str">
        <f>VLOOKUP($D263,Sheet1!$D$5:$F$192,2,TRUE)</f>
        <v>~|</v>
      </c>
      <c r="N263" s="23">
        <f>FLOOR(VLOOKUP($D263,Sheet1!$G$5:$I$192,3,TRUE),1)</f>
        <v>4</v>
      </c>
      <c r="O263" s="42" t="str">
        <f>VLOOKUP($D263,Sheet1!$G$5:$I$192,2,TRUE)</f>
        <v>'|(</v>
      </c>
      <c r="P263" s="23">
        <v>1</v>
      </c>
      <c r="Q263" s="43" t="str">
        <f>VLOOKUP($D263,Sheet1!$J$5:$L$192,2,TRUE)</f>
        <v>'|(.</v>
      </c>
      <c r="R263" s="23">
        <f>FLOOR(VLOOKUP($D263,Sheet1!$M$5:$O$192,3,TRUE),1)</f>
        <v>15</v>
      </c>
      <c r="S263" s="42" t="str">
        <f>VLOOKUP($D263,Sheet1!$M$5:$O$192,2,TRUE)</f>
        <v>'|(.</v>
      </c>
      <c r="T263" s="117">
        <f>IF(ABS(D263-VLOOKUP($D263,Sheet1!$M$5:$T$192,8,TRUE))&lt;10^-10,"SoCA",D263-VLOOKUP($D263,Sheet1!$M$5:$T$192,8,TRUE))</f>
        <v>0.19601786567719781</v>
      </c>
      <c r="U263" s="109">
        <f>IF(VLOOKUP($D263,Sheet1!$M$5:$U$192,9,TRUE)=0,"",IF(ABS(D263-VLOOKUP($D263,Sheet1!$M$5:$U$192,9,TRUE))&lt;10^-10,"Alt.",D263-VLOOKUP($D263,Sheet1!$M$5:$U$192,9,TRUE)))</f>
        <v>0.16905757047476389</v>
      </c>
      <c r="V263" s="132">
        <f>$D263-Sheet1!$M$3*$R263</f>
        <v>0.1660474770259448</v>
      </c>
      <c r="Z263" s="6"/>
      <c r="AA263" s="61"/>
    </row>
    <row r="264" spans="1:27" ht="13.5">
      <c r="A264" t="s">
        <v>1356</v>
      </c>
      <c r="B264">
        <v>150903</v>
      </c>
      <c r="C264">
        <v>151552</v>
      </c>
      <c r="D264" s="13">
        <f t="shared" si="7"/>
        <v>7.4296845632248365</v>
      </c>
      <c r="E264" s="61">
        <v>37</v>
      </c>
      <c r="F264" s="65">
        <v>66.925576498458184</v>
      </c>
      <c r="G264" s="6">
        <v>1120</v>
      </c>
      <c r="H264" s="6">
        <v>1205</v>
      </c>
      <c r="I264" s="65">
        <v>-8.4574727463723072</v>
      </c>
      <c r="J264" s="6">
        <f>VLOOKUP($D264,Sheet1!$A$5:$C$192,3,TRUE)</f>
        <v>1</v>
      </c>
      <c r="K264" s="42" t="str">
        <f>VLOOKUP($D264,Sheet1!$A$5:$C$192,2,TRUE)</f>
        <v>|(</v>
      </c>
      <c r="L264" s="6">
        <f>FLOOR(VLOOKUP($D264,Sheet1!$D$5:$F$192,3,TRUE),1)</f>
        <v>3</v>
      </c>
      <c r="M264" s="42" t="str">
        <f>VLOOKUP($D264,Sheet1!$D$5:$F$192,2,TRUE)</f>
        <v>~|</v>
      </c>
      <c r="N264" s="23">
        <f>FLOOR(VLOOKUP($D264,Sheet1!$G$5:$I$192,3,TRUE),1)</f>
        <v>4</v>
      </c>
      <c r="O264" s="42" t="str">
        <f>VLOOKUP($D264,Sheet1!$G$5:$I$192,2,TRUE)</f>
        <v>'|(</v>
      </c>
      <c r="P264" s="23">
        <v>1</v>
      </c>
      <c r="Q264" s="43" t="str">
        <f>VLOOKUP($D264,Sheet1!$J$5:$L$192,2,TRUE)</f>
        <v>'|(.</v>
      </c>
      <c r="R264" s="23">
        <f>FLOOR(VLOOKUP($D264,Sheet1!$M$5:$O$192,3,TRUE),1)</f>
        <v>15</v>
      </c>
      <c r="S264" s="42" t="str">
        <f>VLOOKUP($D264,Sheet1!$M$5:$O$192,2,TRUE)</f>
        <v>'|(.</v>
      </c>
      <c r="T264" s="117">
        <f>IF(ABS(D264-VLOOKUP($D264,Sheet1!$M$5:$T$192,8,TRUE))&lt;10^-10,"SoCA",D264-VLOOKUP($D264,Sheet1!$M$5:$T$192,8,TRUE))</f>
        <v>0.14087773786030056</v>
      </c>
      <c r="U264" s="109">
        <f>IF(VLOOKUP($D264,Sheet1!$M$5:$U$192,9,TRUE)=0,"",IF(ABS(D264-VLOOKUP($D264,Sheet1!$M$5:$U$192,9,TRUE))&lt;10^-10,"Alt.",D264-VLOOKUP($D264,Sheet1!$M$5:$U$192,9,TRUE)))</f>
        <v>0.11391744265786663</v>
      </c>
      <c r="V264" s="132">
        <f>$D264-Sheet1!$M$3*$R264</f>
        <v>0.11090734920904755</v>
      </c>
      <c r="Z264" s="6"/>
      <c r="AA264" s="61"/>
    </row>
    <row r="265" spans="1:27" ht="13.5">
      <c r="A265" s="6" t="s">
        <v>1804</v>
      </c>
      <c r="B265">
        <v>1240029</v>
      </c>
      <c r="C265">
        <v>1245184</v>
      </c>
      <c r="D265" s="13">
        <f t="shared" si="7"/>
        <v>7.1821001439160872</v>
      </c>
      <c r="E265" s="61">
        <v>19</v>
      </c>
      <c r="F265" s="65">
        <v>70.461032038204479</v>
      </c>
      <c r="G265" s="59">
        <v>358</v>
      </c>
      <c r="H265" s="63">
        <v>1000009</v>
      </c>
      <c r="I265" s="65">
        <v>-11.442228071676318</v>
      </c>
      <c r="J265" s="6">
        <f>VLOOKUP($D265,Sheet1!$A$5:$C$192,3,TRUE)</f>
        <v>1</v>
      </c>
      <c r="K265" s="42" t="str">
        <f>VLOOKUP($D265,Sheet1!$A$5:$C$192,2,TRUE)</f>
        <v>|(</v>
      </c>
      <c r="L265" s="6">
        <f>FLOOR(VLOOKUP($D265,Sheet1!$D$5:$F$192,3,TRUE),1)</f>
        <v>3</v>
      </c>
      <c r="M265" s="42" t="str">
        <f>VLOOKUP($D265,Sheet1!$D$5:$F$192,2,TRUE)</f>
        <v>~|</v>
      </c>
      <c r="N265" s="23">
        <f>FLOOR(VLOOKUP($D265,Sheet1!$G$5:$I$192,3,TRUE),1)</f>
        <v>4</v>
      </c>
      <c r="O265" s="42" t="str">
        <f>VLOOKUP($D265,Sheet1!$G$5:$I$192,2,TRUE)</f>
        <v>'|(</v>
      </c>
      <c r="P265" s="23">
        <v>1</v>
      </c>
      <c r="Q265" s="43" t="str">
        <f>VLOOKUP($D265,Sheet1!$J$5:$L$192,2,TRUE)</f>
        <v>'|(.</v>
      </c>
      <c r="R265" s="23">
        <f>FLOOR(VLOOKUP($D265,Sheet1!$M$5:$O$192,3,TRUE),1)</f>
        <v>15</v>
      </c>
      <c r="S265" s="42" t="str">
        <f>VLOOKUP($D265,Sheet1!$M$5:$O$192,2,TRUE)</f>
        <v>.~|'</v>
      </c>
      <c r="T265" s="117">
        <f>IF(ABS(D265-VLOOKUP($D265,Sheet1!$M$5:$T$192,8,TRUE))&lt;10^-10,"SoCA",D265-VLOOKUP($D265,Sheet1!$M$5:$T$192,8,TRUE))</f>
        <v>-1.6491791409324996E-2</v>
      </c>
      <c r="U265" s="109">
        <f>IF(VLOOKUP($D265,Sheet1!$M$5:$U$192,9,TRUE)=0,"",IF(ABS(D265-VLOOKUP($D265,Sheet1!$M$5:$U$192,9,TRUE))&lt;10^-10,"Alt.",D265-VLOOKUP($D265,Sheet1!$M$5:$U$192,9,TRUE)))</f>
        <v>1.046850379310893E-2</v>
      </c>
      <c r="V265" s="132">
        <f>$D265-Sheet1!$M$3*$R265</f>
        <v>-0.13667707009970176</v>
      </c>
      <c r="Z265" s="6"/>
      <c r="AA265" s="61"/>
    </row>
    <row r="266" spans="1:27" ht="13.5">
      <c r="A266" s="6" t="s">
        <v>391</v>
      </c>
      <c r="B266" s="6">
        <f>3^5</f>
        <v>243</v>
      </c>
      <c r="C266" s="6">
        <f>2^2*61</f>
        <v>244</v>
      </c>
      <c r="D266" s="13">
        <f t="shared" si="7"/>
        <v>7.1098007485266015</v>
      </c>
      <c r="E266" s="61" t="s">
        <v>1931</v>
      </c>
      <c r="F266" s="65">
        <v>74.062234759058072</v>
      </c>
      <c r="G266" s="6">
        <v>230</v>
      </c>
      <c r="H266" s="6">
        <v>226</v>
      </c>
      <c r="I266" s="65">
        <v>-5.4377763345011507</v>
      </c>
      <c r="J266" s="6">
        <f>VLOOKUP($D266,Sheet1!$A$5:$C$192,3,TRUE)</f>
        <v>1</v>
      </c>
      <c r="K266" s="42" t="str">
        <f>VLOOKUP($D266,Sheet1!$A$5:$C$192,2,TRUE)</f>
        <v>|(</v>
      </c>
      <c r="L266" s="6">
        <f>FLOOR(VLOOKUP($D266,Sheet1!$D$5:$F$192,3,TRUE),1)</f>
        <v>3</v>
      </c>
      <c r="M266" s="42" t="str">
        <f>VLOOKUP($D266,Sheet1!$D$5:$F$192,2,TRUE)</f>
        <v>~|</v>
      </c>
      <c r="N266" s="23">
        <f>FLOOR(VLOOKUP($D266,Sheet1!$G$5:$I$192,3,TRUE),1)</f>
        <v>4</v>
      </c>
      <c r="O266" s="42" t="str">
        <f>VLOOKUP($D266,Sheet1!$G$5:$I$192,2,TRUE)</f>
        <v>'|(</v>
      </c>
      <c r="P266" s="23">
        <v>1</v>
      </c>
      <c r="Q266" s="43" t="str">
        <f>VLOOKUP($D266,Sheet1!$J$5:$L$192,2,TRUE)</f>
        <v>'|(.</v>
      </c>
      <c r="R266" s="23">
        <f>FLOOR(VLOOKUP($D266,Sheet1!$M$5:$O$192,3,TRUE),1)</f>
        <v>15</v>
      </c>
      <c r="S266" s="42" t="str">
        <f>VLOOKUP($D266,Sheet1!$M$5:$O$192,2,TRUE)</f>
        <v>.~|'</v>
      </c>
      <c r="T266" s="117">
        <f>IF(ABS(D266-VLOOKUP($D266,Sheet1!$M$5:$T$192,8,TRUE))&lt;10^-10,"SoCA",D266-VLOOKUP($D266,Sheet1!$M$5:$T$192,8,TRUE))</f>
        <v>-8.8791186798810706E-2</v>
      </c>
      <c r="U266" s="109">
        <f>IF(VLOOKUP($D266,Sheet1!$M$5:$U$192,9,TRUE)=0,"",IF(ABS(D266-VLOOKUP($D266,Sheet1!$M$5:$U$192,9,TRUE))&lt;10^-10,"Alt.",D266-VLOOKUP($D266,Sheet1!$M$5:$U$192,9,TRUE)))</f>
        <v>-6.183089159637678E-2</v>
      </c>
      <c r="V266" s="132">
        <f>$D266-Sheet1!$M$3*$R266</f>
        <v>-0.20897646548918747</v>
      </c>
      <c r="Z266" s="6"/>
      <c r="AA266" s="61"/>
    </row>
    <row r="267" spans="1:27" ht="13.5">
      <c r="A267" t="s">
        <v>1570</v>
      </c>
      <c r="B267">
        <v>137216</v>
      </c>
      <c r="C267">
        <v>137781</v>
      </c>
      <c r="D267" s="13">
        <f t="shared" si="7"/>
        <v>7.1138857082846947</v>
      </c>
      <c r="E267" s="61" t="s">
        <v>1931</v>
      </c>
      <c r="F267" s="65">
        <v>84.645398709445686</v>
      </c>
      <c r="G267" s="6">
        <v>1476</v>
      </c>
      <c r="H267" s="6">
        <v>1419</v>
      </c>
      <c r="I267" s="65">
        <v>8.5619721396442259</v>
      </c>
      <c r="J267" s="6">
        <f>VLOOKUP($D267,Sheet1!$A$5:$C$192,3,TRUE)</f>
        <v>1</v>
      </c>
      <c r="K267" s="42" t="str">
        <f>VLOOKUP($D267,Sheet1!$A$5:$C$192,2,TRUE)</f>
        <v>|(</v>
      </c>
      <c r="L267" s="6">
        <f>FLOOR(VLOOKUP($D267,Sheet1!$D$5:$F$192,3,TRUE),1)</f>
        <v>3</v>
      </c>
      <c r="M267" s="42" t="str">
        <f>VLOOKUP($D267,Sheet1!$D$5:$F$192,2,TRUE)</f>
        <v>~|</v>
      </c>
      <c r="N267" s="23">
        <f>FLOOR(VLOOKUP($D267,Sheet1!$G$5:$I$192,3,TRUE),1)</f>
        <v>4</v>
      </c>
      <c r="O267" s="42" t="str">
        <f>VLOOKUP($D267,Sheet1!$G$5:$I$192,2,TRUE)</f>
        <v>'|(</v>
      </c>
      <c r="P267" s="23">
        <v>1</v>
      </c>
      <c r="Q267" s="43" t="str">
        <f>VLOOKUP($D267,Sheet1!$J$5:$L$192,2,TRUE)</f>
        <v>'|(.</v>
      </c>
      <c r="R267" s="23">
        <f>FLOOR(VLOOKUP($D267,Sheet1!$M$5:$O$192,3,TRUE),1)</f>
        <v>15</v>
      </c>
      <c r="S267" s="42" t="str">
        <f>VLOOKUP($D267,Sheet1!$M$5:$O$192,2,TRUE)</f>
        <v>.~|'</v>
      </c>
      <c r="T267" s="117">
        <f>IF(ABS(D267-VLOOKUP($D267,Sheet1!$M$5:$T$192,8,TRUE))&lt;10^-10,"SoCA",D267-VLOOKUP($D267,Sheet1!$M$5:$T$192,8,TRUE))</f>
        <v>-8.4706227040717508E-2</v>
      </c>
      <c r="U267" s="109">
        <f>IF(VLOOKUP($D267,Sheet1!$M$5:$U$192,9,TRUE)=0,"",IF(ABS(D267-VLOOKUP($D267,Sheet1!$M$5:$U$192,9,TRUE))&lt;10^-10,"Alt.",D267-VLOOKUP($D267,Sheet1!$M$5:$U$192,9,TRUE)))</f>
        <v>-5.7745931838283582E-2</v>
      </c>
      <c r="V267" s="132">
        <f>$D267-Sheet1!$M$3*$R267</f>
        <v>-0.20489150573109427</v>
      </c>
      <c r="Z267" s="6"/>
      <c r="AA267" s="61"/>
    </row>
    <row r="268" spans="1:27" ht="13.5">
      <c r="A268" s="6" t="s">
        <v>1836</v>
      </c>
      <c r="B268">
        <v>2646016</v>
      </c>
      <c r="C268">
        <v>2657205</v>
      </c>
      <c r="D268" s="13">
        <f t="shared" si="7"/>
        <v>7.3052986167740572</v>
      </c>
      <c r="E268" s="61">
        <v>19</v>
      </c>
      <c r="F268" s="65">
        <v>122.90784973030482</v>
      </c>
      <c r="G268" s="59">
        <v>1621</v>
      </c>
      <c r="H268" s="63">
        <v>1000041</v>
      </c>
      <c r="I268" s="65">
        <v>11.550186149513342</v>
      </c>
      <c r="J268" s="6">
        <f>VLOOKUP($D268,Sheet1!$A$5:$C$192,3,TRUE)</f>
        <v>1</v>
      </c>
      <c r="K268" s="42" t="str">
        <f>VLOOKUP($D268,Sheet1!$A$5:$C$192,2,TRUE)</f>
        <v>|(</v>
      </c>
      <c r="L268" s="6">
        <f>FLOOR(VLOOKUP($D268,Sheet1!$D$5:$F$192,3,TRUE),1)</f>
        <v>3</v>
      </c>
      <c r="M268" s="42" t="str">
        <f>VLOOKUP($D268,Sheet1!$D$5:$F$192,2,TRUE)</f>
        <v>~|</v>
      </c>
      <c r="N268" s="23">
        <f>FLOOR(VLOOKUP($D268,Sheet1!$G$5:$I$192,3,TRUE),1)</f>
        <v>4</v>
      </c>
      <c r="O268" s="42" t="str">
        <f>VLOOKUP($D268,Sheet1!$G$5:$I$192,2,TRUE)</f>
        <v>'|(</v>
      </c>
      <c r="P268" s="23">
        <v>1</v>
      </c>
      <c r="Q268" s="43" t="str">
        <f>VLOOKUP($D268,Sheet1!$J$5:$L$192,2,TRUE)</f>
        <v>'|(.</v>
      </c>
      <c r="R268" s="23">
        <f>FLOOR(VLOOKUP($D268,Sheet1!$M$5:$O$192,3,TRUE),1)</f>
        <v>15</v>
      </c>
      <c r="S268" s="42" t="str">
        <f>VLOOKUP($D268,Sheet1!$M$5:$O$192,2,TRUE)</f>
        <v>'|(.</v>
      </c>
      <c r="T268" s="117">
        <f>IF(ABS(D268-VLOOKUP($D268,Sheet1!$M$5:$T$192,8,TRUE))&lt;10^-10,"SoCA",D268-VLOOKUP($D268,Sheet1!$M$5:$T$192,8,TRUE))</f>
        <v>1.6491791409521284E-2</v>
      </c>
      <c r="U268" s="109">
        <f>IF(VLOOKUP($D268,Sheet1!$M$5:$U$192,9,TRUE)=0,"",IF(ABS(D268-VLOOKUP($D268,Sheet1!$M$5:$U$192,9,TRUE))&lt;10^-10,"Alt.",D268-VLOOKUP($D268,Sheet1!$M$5:$U$192,9,TRUE)))</f>
        <v>-1.0468503792912642E-2</v>
      </c>
      <c r="V268" s="132">
        <f>$D268-Sheet1!$M$3*$R268</f>
        <v>-1.3478597241731727E-2</v>
      </c>
      <c r="Z268" s="6"/>
      <c r="AA268" s="61"/>
    </row>
    <row r="269" spans="1:27" ht="13.5">
      <c r="A269" t="s">
        <v>563</v>
      </c>
      <c r="B269">
        <v>236</v>
      </c>
      <c r="C269">
        <v>237</v>
      </c>
      <c r="D269" s="13">
        <f t="shared" si="7"/>
        <v>7.3202394437013973</v>
      </c>
      <c r="E269" s="61" t="s">
        <v>1931</v>
      </c>
      <c r="F269" s="65">
        <v>138.04727283323894</v>
      </c>
      <c r="G269" s="6">
        <v>447</v>
      </c>
      <c r="H269" s="6">
        <v>407</v>
      </c>
      <c r="I269" s="65">
        <v>0.54926618836703001</v>
      </c>
      <c r="J269" s="6">
        <f>VLOOKUP($D269,Sheet1!$A$5:$C$192,3,TRUE)</f>
        <v>1</v>
      </c>
      <c r="K269" s="42" t="str">
        <f>VLOOKUP($D269,Sheet1!$A$5:$C$192,2,TRUE)</f>
        <v>|(</v>
      </c>
      <c r="L269" s="6">
        <f>FLOOR(VLOOKUP($D269,Sheet1!$D$5:$F$192,3,TRUE),1)</f>
        <v>3</v>
      </c>
      <c r="M269" s="42" t="str">
        <f>VLOOKUP($D269,Sheet1!$D$5:$F$192,2,TRUE)</f>
        <v>~|</v>
      </c>
      <c r="N269" s="23">
        <f>FLOOR(VLOOKUP($D269,Sheet1!$G$5:$I$192,3,TRUE),1)</f>
        <v>4</v>
      </c>
      <c r="O269" s="42" t="str">
        <f>VLOOKUP($D269,Sheet1!$G$5:$I$192,2,TRUE)</f>
        <v>'|(</v>
      </c>
      <c r="P269" s="23">
        <v>1</v>
      </c>
      <c r="Q269" s="43" t="str">
        <f>VLOOKUP($D269,Sheet1!$J$5:$L$192,2,TRUE)</f>
        <v>'|(.</v>
      </c>
      <c r="R269" s="23">
        <f>FLOOR(VLOOKUP($D269,Sheet1!$M$5:$O$192,3,TRUE),1)</f>
        <v>15</v>
      </c>
      <c r="S269" s="42" t="str">
        <f>VLOOKUP($D269,Sheet1!$M$5:$O$192,2,TRUE)</f>
        <v>'|(.</v>
      </c>
      <c r="T269" s="117">
        <f>IF(ABS(D269-VLOOKUP($D269,Sheet1!$M$5:$T$192,8,TRUE))&lt;10^-10,"SoCA",D269-VLOOKUP($D269,Sheet1!$M$5:$T$192,8,TRUE))</f>
        <v>3.1432618336861395E-2</v>
      </c>
      <c r="U269" s="109">
        <f>IF(VLOOKUP($D269,Sheet1!$M$5:$U$192,9,TRUE)=0,"",IF(ABS(D269-VLOOKUP($D269,Sheet1!$M$5:$U$192,9,TRUE))&lt;10^-10,"Alt.",D269-VLOOKUP($D269,Sheet1!$M$5:$U$192,9,TRUE)))</f>
        <v>4.4723231344274694E-3</v>
      </c>
      <c r="V269" s="132">
        <f>$D269-Sheet1!$M$3*$R269</f>
        <v>1.462229685608385E-3</v>
      </c>
      <c r="Z269" s="6"/>
      <c r="AA269" s="61"/>
    </row>
    <row r="270" spans="1:27" ht="13.5">
      <c r="A270" t="s">
        <v>877</v>
      </c>
      <c r="B270">
        <v>1192</v>
      </c>
      <c r="C270">
        <v>1197</v>
      </c>
      <c r="D270" s="13">
        <f t="shared" si="7"/>
        <v>7.2466997776083897</v>
      </c>
      <c r="E270" s="61" t="s">
        <v>1931</v>
      </c>
      <c r="F270" s="65">
        <v>210.09916390098419</v>
      </c>
      <c r="G270" s="6">
        <v>787</v>
      </c>
      <c r="H270" s="6">
        <v>724</v>
      </c>
      <c r="I270" s="65">
        <v>1.5537942935279667</v>
      </c>
      <c r="J270" s="6">
        <f>VLOOKUP($D270,Sheet1!$A$5:$C$192,3,TRUE)</f>
        <v>1</v>
      </c>
      <c r="K270" s="42" t="str">
        <f>VLOOKUP($D270,Sheet1!$A$5:$C$192,2,TRUE)</f>
        <v>|(</v>
      </c>
      <c r="L270" s="6">
        <f>FLOOR(VLOOKUP($D270,Sheet1!$D$5:$F$192,3,TRUE),1)</f>
        <v>3</v>
      </c>
      <c r="M270" s="42" t="str">
        <f>VLOOKUP($D270,Sheet1!$D$5:$F$192,2,TRUE)</f>
        <v>~|</v>
      </c>
      <c r="N270" s="23">
        <f>FLOOR(VLOOKUP($D270,Sheet1!$G$5:$I$192,3,TRUE),1)</f>
        <v>4</v>
      </c>
      <c r="O270" s="42" t="str">
        <f>VLOOKUP($D270,Sheet1!$G$5:$I$192,2,TRUE)</f>
        <v>'|(</v>
      </c>
      <c r="P270" s="23">
        <v>1</v>
      </c>
      <c r="Q270" s="43" t="str">
        <f>VLOOKUP($D270,Sheet1!$J$5:$L$192,2,TRUE)</f>
        <v>'|(.</v>
      </c>
      <c r="R270" s="23">
        <f>FLOOR(VLOOKUP($D270,Sheet1!$M$5:$O$192,3,TRUE),1)</f>
        <v>15</v>
      </c>
      <c r="S270" s="42" t="str">
        <f>VLOOKUP($D270,Sheet1!$M$5:$O$192,2,TRUE)</f>
        <v>'|(.</v>
      </c>
      <c r="T270" s="117">
        <f>IF(ABS(D270-VLOOKUP($D270,Sheet1!$M$5:$T$192,8,TRUE))&lt;10^-10,"SoCA",D270-VLOOKUP($D270,Sheet1!$M$5:$T$192,8,TRUE))</f>
        <v>-4.2107047756146265E-2</v>
      </c>
      <c r="U270" s="109">
        <f>IF(VLOOKUP($D270,Sheet1!$M$5:$U$192,9,TRUE)=0,"",IF(ABS(D270-VLOOKUP($D270,Sheet1!$M$5:$U$192,9,TRUE))&lt;10^-10,"Alt.",D270-VLOOKUP($D270,Sheet1!$M$5:$U$192,9,TRUE)))</f>
        <v>-6.9067342958580191E-2</v>
      </c>
      <c r="V270" s="132">
        <f>$D270-Sheet1!$M$3*$R270</f>
        <v>-7.2077436407399276E-2</v>
      </c>
      <c r="Z270" s="6"/>
      <c r="AA270" s="61"/>
    </row>
    <row r="271" spans="1:27" ht="13.5">
      <c r="A271" t="s">
        <v>1686</v>
      </c>
      <c r="B271">
        <v>4292608</v>
      </c>
      <c r="C271">
        <v>4310577</v>
      </c>
      <c r="D271" s="13">
        <f t="shared" si="7"/>
        <v>7.2318774649546089</v>
      </c>
      <c r="E271" s="61" t="s">
        <v>1931</v>
      </c>
      <c r="F271" s="65">
        <v>230.1370864979894</v>
      </c>
      <c r="G271" s="6">
        <v>1585</v>
      </c>
      <c r="H271" s="6">
        <v>1535</v>
      </c>
      <c r="I271" s="65">
        <v>9.5547069573186842</v>
      </c>
      <c r="J271" s="6">
        <f>VLOOKUP($D271,Sheet1!$A$5:$C$192,3,TRUE)</f>
        <v>1</v>
      </c>
      <c r="K271" s="42" t="str">
        <f>VLOOKUP($D271,Sheet1!$A$5:$C$192,2,TRUE)</f>
        <v>|(</v>
      </c>
      <c r="L271" s="6">
        <f>FLOOR(VLOOKUP($D271,Sheet1!$D$5:$F$192,3,TRUE),1)</f>
        <v>3</v>
      </c>
      <c r="M271" s="42" t="str">
        <f>VLOOKUP($D271,Sheet1!$D$5:$F$192,2,TRUE)</f>
        <v>~|</v>
      </c>
      <c r="N271" s="23">
        <f>FLOOR(VLOOKUP($D271,Sheet1!$G$5:$I$192,3,TRUE),1)</f>
        <v>4</v>
      </c>
      <c r="O271" s="42" t="str">
        <f>VLOOKUP($D271,Sheet1!$G$5:$I$192,2,TRUE)</f>
        <v>'|(</v>
      </c>
      <c r="P271" s="23">
        <v>1</v>
      </c>
      <c r="Q271" s="43" t="str">
        <f>VLOOKUP($D271,Sheet1!$J$5:$L$192,2,TRUE)</f>
        <v>'|(.</v>
      </c>
      <c r="R271" s="23">
        <f>FLOOR(VLOOKUP($D271,Sheet1!$M$5:$O$192,3,TRUE),1)</f>
        <v>15</v>
      </c>
      <c r="S271" s="42" t="str">
        <f>VLOOKUP($D271,Sheet1!$M$5:$O$192,2,TRUE)</f>
        <v>'|(.</v>
      </c>
      <c r="T271" s="117">
        <f>IF(ABS(D271-VLOOKUP($D271,Sheet1!$M$5:$T$192,8,TRUE))&lt;10^-10,"SoCA",D271-VLOOKUP($D271,Sheet1!$M$5:$T$192,8,TRUE))</f>
        <v>-5.6929360409927021E-2</v>
      </c>
      <c r="U271" s="109">
        <f>IF(VLOOKUP($D271,Sheet1!$M$5:$U$192,9,TRUE)=0,"",IF(ABS(D271-VLOOKUP($D271,Sheet1!$M$5:$U$192,9,TRUE))&lt;10^-10,"Alt.",D271-VLOOKUP($D271,Sheet1!$M$5:$U$192,9,TRUE)))</f>
        <v>-8.3889655612360947E-2</v>
      </c>
      <c r="V271" s="132">
        <f>$D271-Sheet1!$M$3*$R271</f>
        <v>-8.6899749061180032E-2</v>
      </c>
      <c r="Z271" s="6"/>
      <c r="AA271" s="61"/>
    </row>
    <row r="272" spans="1:27" ht="13.5">
      <c r="A272" t="s">
        <v>1471</v>
      </c>
      <c r="B272">
        <v>790528</v>
      </c>
      <c r="C272">
        <v>793881</v>
      </c>
      <c r="D272" s="13">
        <f t="shared" si="7"/>
        <v>7.3274469309161461</v>
      </c>
      <c r="E272" s="61" t="s">
        <v>1931</v>
      </c>
      <c r="F272" s="65">
        <v>264.58669923357616</v>
      </c>
      <c r="G272" s="6">
        <v>1382</v>
      </c>
      <c r="H272" s="6">
        <v>1320</v>
      </c>
      <c r="I272" s="65">
        <v>7.5488223971209125</v>
      </c>
      <c r="J272" s="6">
        <f>VLOOKUP($D272,Sheet1!$A$5:$C$192,3,TRUE)</f>
        <v>1</v>
      </c>
      <c r="K272" s="42" t="str">
        <f>VLOOKUP($D272,Sheet1!$A$5:$C$192,2,TRUE)</f>
        <v>|(</v>
      </c>
      <c r="L272" s="6">
        <f>FLOOR(VLOOKUP($D272,Sheet1!$D$5:$F$192,3,TRUE),1)</f>
        <v>3</v>
      </c>
      <c r="M272" s="42" t="str">
        <f>VLOOKUP($D272,Sheet1!$D$5:$F$192,2,TRUE)</f>
        <v>~|</v>
      </c>
      <c r="N272" s="23">
        <f>FLOOR(VLOOKUP($D272,Sheet1!$G$5:$I$192,3,TRUE),1)</f>
        <v>4</v>
      </c>
      <c r="O272" s="42" t="str">
        <f>VLOOKUP($D272,Sheet1!$G$5:$I$192,2,TRUE)</f>
        <v>'|(</v>
      </c>
      <c r="P272" s="23">
        <v>1</v>
      </c>
      <c r="Q272" s="43" t="str">
        <f>VLOOKUP($D272,Sheet1!$J$5:$L$192,2,TRUE)</f>
        <v>'|(.</v>
      </c>
      <c r="R272" s="23">
        <f>FLOOR(VLOOKUP($D272,Sheet1!$M$5:$O$192,3,TRUE),1)</f>
        <v>15</v>
      </c>
      <c r="S272" s="42" t="str">
        <f>VLOOKUP($D272,Sheet1!$M$5:$O$192,2,TRUE)</f>
        <v>'|(.</v>
      </c>
      <c r="T272" s="117">
        <f>IF(ABS(D272-VLOOKUP($D272,Sheet1!$M$5:$T$192,8,TRUE))&lt;10^-10,"SoCA",D272-VLOOKUP($D272,Sheet1!$M$5:$T$192,8,TRUE))</f>
        <v>3.8640105551610127E-2</v>
      </c>
      <c r="U272" s="109">
        <f>IF(VLOOKUP($D272,Sheet1!$M$5:$U$192,9,TRUE)=0,"",IF(ABS(D272-VLOOKUP($D272,Sheet1!$M$5:$U$192,9,TRUE))&lt;10^-10,"Alt.",D272-VLOOKUP($D272,Sheet1!$M$5:$U$192,9,TRUE)))</f>
        <v>1.1679810349176201E-2</v>
      </c>
      <c r="V272" s="132">
        <f>$D272-Sheet1!$M$3*$R272</f>
        <v>8.6697169003571162E-3</v>
      </c>
      <c r="Z272" s="6"/>
      <c r="AA272" s="61"/>
    </row>
    <row r="273" spans="1:27" ht="13.5">
      <c r="A273" t="s">
        <v>1089</v>
      </c>
      <c r="B273">
        <v>28684672</v>
      </c>
      <c r="C273">
        <v>28806273</v>
      </c>
      <c r="D273" s="13">
        <f t="shared" si="7"/>
        <v>7.3235917601184557</v>
      </c>
      <c r="E273" s="61" t="s">
        <v>1931</v>
      </c>
      <c r="F273" s="65">
        <v>435472.57966461463</v>
      </c>
      <c r="G273" s="6">
        <v>1002</v>
      </c>
      <c r="H273" s="6">
        <v>938</v>
      </c>
      <c r="I273" s="65">
        <v>3.5490597740320782</v>
      </c>
      <c r="J273" s="6">
        <f>VLOOKUP($D273,Sheet1!$A$5:$C$192,3,TRUE)</f>
        <v>1</v>
      </c>
      <c r="K273" s="42" t="str">
        <f>VLOOKUP($D273,Sheet1!$A$5:$C$192,2,TRUE)</f>
        <v>|(</v>
      </c>
      <c r="L273" s="6">
        <f>FLOOR(VLOOKUP($D273,Sheet1!$D$5:$F$192,3,TRUE),1)</f>
        <v>3</v>
      </c>
      <c r="M273" s="42" t="str">
        <f>VLOOKUP($D273,Sheet1!$D$5:$F$192,2,TRUE)</f>
        <v>~|</v>
      </c>
      <c r="N273" s="23">
        <f>FLOOR(VLOOKUP($D273,Sheet1!$G$5:$I$192,3,TRUE),1)</f>
        <v>4</v>
      </c>
      <c r="O273" s="42" t="str">
        <f>VLOOKUP($D273,Sheet1!$G$5:$I$192,2,TRUE)</f>
        <v>'|(</v>
      </c>
      <c r="P273" s="23">
        <v>1</v>
      </c>
      <c r="Q273" s="43" t="str">
        <f>VLOOKUP($D273,Sheet1!$J$5:$L$192,2,TRUE)</f>
        <v>'|(.</v>
      </c>
      <c r="R273" s="23">
        <f>FLOOR(VLOOKUP($D273,Sheet1!$M$5:$O$192,3,TRUE),1)</f>
        <v>15</v>
      </c>
      <c r="S273" s="42" t="str">
        <f>VLOOKUP($D273,Sheet1!$M$5:$O$192,2,TRUE)</f>
        <v>'|(.</v>
      </c>
      <c r="T273" s="117">
        <f>IF(ABS(D273-VLOOKUP($D273,Sheet1!$M$5:$T$192,8,TRUE))&lt;10^-10,"SoCA",D273-VLOOKUP($D273,Sheet1!$M$5:$T$192,8,TRUE))</f>
        <v>3.478493475391975E-2</v>
      </c>
      <c r="U273" s="109">
        <f>IF(VLOOKUP($D273,Sheet1!$M$5:$U$192,9,TRUE)=0,"",IF(ABS(D273-VLOOKUP($D273,Sheet1!$M$5:$U$192,9,TRUE))&lt;10^-10,"Alt.",D273-VLOOKUP($D273,Sheet1!$M$5:$U$192,9,TRUE)))</f>
        <v>7.8246395514858236E-3</v>
      </c>
      <c r="V273" s="132">
        <f>$D273-Sheet1!$M$3*$R273</f>
        <v>4.8145461026667391E-3</v>
      </c>
      <c r="Z273" s="6"/>
      <c r="AA273" s="61"/>
    </row>
    <row r="274" spans="1:27" ht="13.5">
      <c r="A274" t="s">
        <v>982</v>
      </c>
      <c r="B274">
        <v>28050496</v>
      </c>
      <c r="C274">
        <v>28172097</v>
      </c>
      <c r="D274" s="13">
        <f t="shared" si="7"/>
        <v>7.4888086312994755</v>
      </c>
      <c r="E274" s="61" t="s">
        <v>1931</v>
      </c>
      <c r="F274" s="65">
        <v>1481700.54204741</v>
      </c>
      <c r="G274" s="6">
        <v>895</v>
      </c>
      <c r="H274" s="6">
        <v>830</v>
      </c>
      <c r="I274" s="65">
        <v>2.5388867693556301</v>
      </c>
      <c r="J274" s="6">
        <f>VLOOKUP($D274,Sheet1!$A$5:$C$192,3,TRUE)</f>
        <v>1</v>
      </c>
      <c r="K274" s="42" t="str">
        <f>VLOOKUP($D274,Sheet1!$A$5:$C$192,2,TRUE)</f>
        <v>|(</v>
      </c>
      <c r="L274" s="6">
        <f>FLOOR(VLOOKUP($D274,Sheet1!$D$5:$F$192,3,TRUE),1)</f>
        <v>3</v>
      </c>
      <c r="M274" s="42" t="str">
        <f>VLOOKUP($D274,Sheet1!$D$5:$F$192,2,TRUE)</f>
        <v>~|</v>
      </c>
      <c r="N274" s="23">
        <f>FLOOR(VLOOKUP($D274,Sheet1!$G$5:$I$192,3,TRUE),1)</f>
        <v>4</v>
      </c>
      <c r="O274" s="42" t="str">
        <f>VLOOKUP($D274,Sheet1!$G$5:$I$192,2,TRUE)</f>
        <v>'|(</v>
      </c>
      <c r="P274" s="23">
        <v>1</v>
      </c>
      <c r="Q274" s="43" t="str">
        <f>VLOOKUP($D274,Sheet1!$J$5:$L$192,2,TRUE)</f>
        <v>'|(.</v>
      </c>
      <c r="R274" s="23">
        <f>FLOOR(VLOOKUP($D274,Sheet1!$M$5:$O$192,3,TRUE),1)</f>
        <v>15</v>
      </c>
      <c r="S274" s="42" t="str">
        <f>VLOOKUP($D274,Sheet1!$M$5:$O$192,2,TRUE)</f>
        <v>'|(.</v>
      </c>
      <c r="T274" s="117">
        <f>IF(ABS(D274-VLOOKUP($D274,Sheet1!$M$5:$T$192,8,TRUE))&lt;10^-10,"SoCA",D274-VLOOKUP($D274,Sheet1!$M$5:$T$192,8,TRUE))</f>
        <v>0.20000180593493955</v>
      </c>
      <c r="U274" s="109">
        <f>IF(VLOOKUP($D274,Sheet1!$M$5:$U$192,9,TRUE)=0,"",IF(ABS(D274-VLOOKUP($D274,Sheet1!$M$5:$U$192,9,TRUE))&lt;10^-10,"Alt.",D274-VLOOKUP($D274,Sheet1!$M$5:$U$192,9,TRUE)))</f>
        <v>0.17304151073250562</v>
      </c>
      <c r="V274" s="132">
        <f>$D274-Sheet1!$M$3*$R274</f>
        <v>0.17003141728368654</v>
      </c>
      <c r="Z274" s="6"/>
      <c r="AA274" s="61"/>
    </row>
    <row r="275" spans="1:27" ht="13.5">
      <c r="A275" t="s">
        <v>1373</v>
      </c>
      <c r="B275">
        <v>5210570752000</v>
      </c>
      <c r="C275">
        <v>5232680416881</v>
      </c>
      <c r="D275" s="13">
        <f t="shared" si="7"/>
        <v>7.3304876470401723</v>
      </c>
      <c r="E275" s="61" t="s">
        <v>1931</v>
      </c>
      <c r="F275" s="65">
        <v>531695749.49705887</v>
      </c>
      <c r="G275" s="6">
        <v>1141</v>
      </c>
      <c r="H275" s="6">
        <v>1222</v>
      </c>
      <c r="I275" s="65">
        <v>8.5486351691512237</v>
      </c>
      <c r="J275" s="6">
        <f>VLOOKUP($D275,Sheet1!$A$5:$C$192,3,TRUE)</f>
        <v>1</v>
      </c>
      <c r="K275" s="42" t="str">
        <f>VLOOKUP($D275,Sheet1!$A$5:$C$192,2,TRUE)</f>
        <v>|(</v>
      </c>
      <c r="L275" s="6">
        <f>FLOOR(VLOOKUP($D275,Sheet1!$D$5:$F$192,3,TRUE),1)</f>
        <v>3</v>
      </c>
      <c r="M275" s="42" t="str">
        <f>VLOOKUP($D275,Sheet1!$D$5:$F$192,2,TRUE)</f>
        <v>~|</v>
      </c>
      <c r="N275" s="23">
        <f>FLOOR(VLOOKUP($D275,Sheet1!$G$5:$I$192,3,TRUE),1)</f>
        <v>4</v>
      </c>
      <c r="O275" s="42" t="str">
        <f>VLOOKUP($D275,Sheet1!$G$5:$I$192,2,TRUE)</f>
        <v>'|(</v>
      </c>
      <c r="P275" s="23">
        <v>1</v>
      </c>
      <c r="Q275" s="43" t="str">
        <f>VLOOKUP($D275,Sheet1!$J$5:$L$192,2,TRUE)</f>
        <v>'|(.</v>
      </c>
      <c r="R275" s="23">
        <f>FLOOR(VLOOKUP($D275,Sheet1!$M$5:$O$192,3,TRUE),1)</f>
        <v>15</v>
      </c>
      <c r="S275" s="42" t="str">
        <f>VLOOKUP($D275,Sheet1!$M$5:$O$192,2,TRUE)</f>
        <v>'|(.</v>
      </c>
      <c r="T275" s="117">
        <f>IF(ABS(D275-VLOOKUP($D275,Sheet1!$M$5:$T$192,8,TRUE))&lt;10^-10,"SoCA",D275-VLOOKUP($D275,Sheet1!$M$5:$T$192,8,TRUE))</f>
        <v>4.1680821675636359E-2</v>
      </c>
      <c r="U275" s="109">
        <f>IF(VLOOKUP($D275,Sheet1!$M$5:$U$192,9,TRUE)=0,"",IF(ABS(D275-VLOOKUP($D275,Sheet1!$M$5:$U$192,9,TRUE))&lt;10^-10,"Alt.",D275-VLOOKUP($D275,Sheet1!$M$5:$U$192,9,TRUE)))</f>
        <v>1.4720526473202433E-2</v>
      </c>
      <c r="V275" s="132">
        <f>$D275-Sheet1!$M$3*$R275</f>
        <v>1.1710433024383349E-2</v>
      </c>
      <c r="Z275" s="6"/>
      <c r="AA275" s="61"/>
    </row>
    <row r="276" spans="1:27" ht="13.5">
      <c r="A276" s="48" t="s">
        <v>35</v>
      </c>
      <c r="B276" s="48">
        <f>2^5*7</f>
        <v>224</v>
      </c>
      <c r="C276" s="48">
        <f>3^2*5^2</f>
        <v>225</v>
      </c>
      <c r="D276" s="51">
        <f t="shared" si="7"/>
        <v>7.7115229913197059</v>
      </c>
      <c r="E276" s="61">
        <v>7</v>
      </c>
      <c r="F276" s="65">
        <v>20.455940098289112</v>
      </c>
      <c r="G276" s="6">
        <v>18</v>
      </c>
      <c r="H276" s="6">
        <v>17</v>
      </c>
      <c r="I276" s="65">
        <v>1.5251734348165951</v>
      </c>
      <c r="J276" s="6">
        <f>VLOOKUP($D276,Sheet1!$A$5:$C$192,3,TRUE)</f>
        <v>1</v>
      </c>
      <c r="K276" s="42" t="str">
        <f>VLOOKUP($D276,Sheet1!$A$5:$C$192,2,TRUE)</f>
        <v>|(</v>
      </c>
      <c r="L276" s="6">
        <f>FLOOR(VLOOKUP($D276,Sheet1!$D$5:$F$192,3,TRUE),1)</f>
        <v>3</v>
      </c>
      <c r="M276" s="42" t="str">
        <f>VLOOKUP($D276,Sheet1!$D$5:$F$192,2,TRUE)</f>
        <v>~|</v>
      </c>
      <c r="N276" s="39">
        <f>FLOOR(VLOOKUP($D276,Sheet1!$G$5:$I$192,3,TRUE),1)</f>
        <v>4</v>
      </c>
      <c r="O276" s="44" t="str">
        <f>VLOOKUP($D276,Sheet1!$G$5:$I$192,2,TRUE)</f>
        <v>'|(</v>
      </c>
      <c r="P276" s="39">
        <v>1</v>
      </c>
      <c r="Q276" s="44" t="str">
        <f>VLOOKUP($D276,Sheet1!$J$5:$L$192,2,TRUE)</f>
        <v>'|(</v>
      </c>
      <c r="R276" s="39">
        <f>FLOOR(VLOOKUP($D276,Sheet1!$M$5:$O$192,3,TRUE),1)</f>
        <v>16</v>
      </c>
      <c r="S276" s="44" t="str">
        <f>VLOOKUP($D276,Sheet1!$M$5:$O$192,2,TRUE)</f>
        <v>'|(</v>
      </c>
      <c r="T276" s="113" t="str">
        <f>IF(ABS(D276-VLOOKUP($D276,Sheet1!$M$5:$T$192,8,TRUE))&lt;10^-10,"SoCA",D276-VLOOKUP($D276,Sheet1!$M$5:$T$192,8,TRUE))</f>
        <v>SoCA</v>
      </c>
      <c r="U276" s="118" t="str">
        <f>IF(VLOOKUP($D276,Sheet1!$M$5:$U$192,9,TRUE)=0,"",IF(ABS(D276-VLOOKUP($D276,Sheet1!$M$5:$U$192,9,TRUE))&lt;10^-10,"Alt.",D276-VLOOKUP($D276,Sheet1!$M$5:$U$192,9,TRUE)))</f>
        <v/>
      </c>
      <c r="V276" s="136">
        <f>$D276-Sheet1!$M$3*$R276</f>
        <v>-9.5172703630469258E-2</v>
      </c>
      <c r="Z276" s="6"/>
      <c r="AA276" s="61"/>
    </row>
    <row r="277" spans="1:27" ht="13.5">
      <c r="A277" s="40" t="s">
        <v>439</v>
      </c>
      <c r="B277" s="40">
        <f>2^9*5^4</f>
        <v>320000</v>
      </c>
      <c r="C277" s="40">
        <f>3^8*7^2</f>
        <v>321489</v>
      </c>
      <c r="D277" s="13">
        <f t="shared" si="7"/>
        <v>8.036964402009799</v>
      </c>
      <c r="E277" s="61">
        <v>7</v>
      </c>
      <c r="F277" s="65">
        <v>51.932078580540725</v>
      </c>
      <c r="G277" s="6">
        <v>264</v>
      </c>
      <c r="H277" s="6">
        <v>277</v>
      </c>
      <c r="I277" s="65">
        <v>7.5051348215127947</v>
      </c>
      <c r="J277" s="6">
        <f>VLOOKUP($D277,Sheet1!$A$5:$C$192,3,TRUE)</f>
        <v>1</v>
      </c>
      <c r="K277" s="42" t="str">
        <f>VLOOKUP($D277,Sheet1!$A$5:$C$192,2,TRUE)</f>
        <v>|(</v>
      </c>
      <c r="L277" s="6">
        <f>FLOOR(VLOOKUP($D277,Sheet1!$D$5:$F$192,3,TRUE),1)</f>
        <v>3</v>
      </c>
      <c r="M277" s="42" t="str">
        <f>VLOOKUP($D277,Sheet1!$D$5:$F$192,2,TRUE)</f>
        <v>~|</v>
      </c>
      <c r="N277" s="23">
        <f>FLOOR(VLOOKUP($D277,Sheet1!$G$5:$I$192,3,TRUE),1)</f>
        <v>4</v>
      </c>
      <c r="O277" s="42" t="str">
        <f>VLOOKUP($D277,Sheet1!$G$5:$I$192,2,TRUE)</f>
        <v>'|(</v>
      </c>
      <c r="P277" s="23">
        <v>1</v>
      </c>
      <c r="Q277" s="43" t="str">
        <f>VLOOKUP($D277,Sheet1!$J$5:$L$192,2,TRUE)</f>
        <v>'|(</v>
      </c>
      <c r="R277" s="40">
        <f>FLOOR(VLOOKUP($D277,Sheet1!$M$5:$O$192,3,TRUE),1)</f>
        <v>16</v>
      </c>
      <c r="S277" s="46" t="str">
        <f>VLOOKUP($D277,Sheet1!$M$5:$O$192,2,TRUE)</f>
        <v>~|..</v>
      </c>
      <c r="T277" s="115">
        <f>IF(ABS(D277-VLOOKUP($D277,Sheet1!$M$5:$T$192,8,TRUE))&lt;10^-10,"SoCA",D277-VLOOKUP($D277,Sheet1!$M$5:$T$192,8,TRUE))</f>
        <v>0.13989204880665085</v>
      </c>
      <c r="U277" s="115">
        <f>IF(VLOOKUP($D277,Sheet1!$M$5:$U$192,9,TRUE)=0,"",IF(ABS(D277-VLOOKUP($D277,Sheet1!$M$5:$U$192,9,TRUE))&lt;10^-10,"Alt.",D277-VLOOKUP($D277,Sheet1!$M$5:$U$192,9,TRUE)))</f>
        <v>0.12583988141219393</v>
      </c>
      <c r="V277" s="132">
        <f>$D277-Sheet1!$M$3*$R277</f>
        <v>0.23026870705962388</v>
      </c>
      <c r="Z277" s="6"/>
      <c r="AA277" s="61"/>
    </row>
    <row r="278" spans="1:27" ht="13.5">
      <c r="A278" s="6" t="s">
        <v>1081</v>
      </c>
      <c r="B278" s="6">
        <f>2^3*3^3</f>
        <v>216</v>
      </c>
      <c r="C278" s="6">
        <f>7*31</f>
        <v>217</v>
      </c>
      <c r="D278" s="13">
        <f t="shared" si="7"/>
        <v>7.996476337212771</v>
      </c>
      <c r="E278" s="61">
        <v>31</v>
      </c>
      <c r="F278" s="65">
        <v>53.396183086009479</v>
      </c>
      <c r="G278" s="6">
        <v>996</v>
      </c>
      <c r="H278" s="6">
        <v>930</v>
      </c>
      <c r="I278" s="65">
        <v>-3.4923721808316008</v>
      </c>
      <c r="J278" s="6">
        <f>VLOOKUP($D278,Sheet1!$A$5:$C$192,3,TRUE)</f>
        <v>1</v>
      </c>
      <c r="K278" s="42" t="str">
        <f>VLOOKUP($D278,Sheet1!$A$5:$C$192,2,TRUE)</f>
        <v>|(</v>
      </c>
      <c r="L278" s="6">
        <f>FLOOR(VLOOKUP($D278,Sheet1!$D$5:$F$192,3,TRUE),1)</f>
        <v>3</v>
      </c>
      <c r="M278" s="42" t="str">
        <f>VLOOKUP($D278,Sheet1!$D$5:$F$192,2,TRUE)</f>
        <v>~|</v>
      </c>
      <c r="N278" s="23">
        <f>FLOOR(VLOOKUP($D278,Sheet1!$G$5:$I$192,3,TRUE),1)</f>
        <v>4</v>
      </c>
      <c r="O278" s="42" t="str">
        <f>VLOOKUP($D278,Sheet1!$G$5:$I$192,2,TRUE)</f>
        <v>'|(</v>
      </c>
      <c r="P278" s="23">
        <v>1</v>
      </c>
      <c r="Q278" s="43" t="str">
        <f>VLOOKUP($D278,Sheet1!$J$5:$L$192,2,TRUE)</f>
        <v>'|(</v>
      </c>
      <c r="R278" s="23">
        <f>FLOOR(VLOOKUP($D278,Sheet1!$M$5:$O$192,3,TRUE),1)</f>
        <v>16</v>
      </c>
      <c r="S278" s="42" t="str">
        <f>VLOOKUP($D278,Sheet1!$M$5:$O$192,2,TRUE)</f>
        <v>~|..</v>
      </c>
      <c r="T278" s="117">
        <f>IF(ABS(D278-VLOOKUP($D278,Sheet1!$M$5:$T$192,8,TRUE))&lt;10^-10,"SoCA",D278-VLOOKUP($D278,Sheet1!$M$5:$T$192,8,TRUE))</f>
        <v>9.9403984009622803E-2</v>
      </c>
      <c r="U278" s="109">
        <f>IF(VLOOKUP($D278,Sheet1!$M$5:$U$192,9,TRUE)=0,"",IF(ABS(D278-VLOOKUP($D278,Sheet1!$M$5:$U$192,9,TRUE))&lt;10^-10,"Alt.",D278-VLOOKUP($D278,Sheet1!$M$5:$U$192,9,TRUE)))</f>
        <v>8.5351816615165887E-2</v>
      </c>
      <c r="V278" s="132">
        <f>$D278-Sheet1!$M$3*$R278</f>
        <v>0.18978064226259583</v>
      </c>
      <c r="Z278" s="6"/>
      <c r="AA278" s="61"/>
    </row>
    <row r="279" spans="1:27" ht="13.5">
      <c r="A279" t="s">
        <v>1557</v>
      </c>
      <c r="B279">
        <v>570807</v>
      </c>
      <c r="C279">
        <v>573440</v>
      </c>
      <c r="D279" s="13">
        <f t="shared" si="7"/>
        <v>7.9674183923863842</v>
      </c>
      <c r="E279" s="61">
        <v>29</v>
      </c>
      <c r="F279" s="65">
        <v>61.992598764750383</v>
      </c>
      <c r="G279" s="6">
        <v>1323</v>
      </c>
      <c r="H279" s="6">
        <v>1406</v>
      </c>
      <c r="I279" s="65">
        <v>-9.4905829773047845</v>
      </c>
      <c r="J279" s="6">
        <f>VLOOKUP($D279,Sheet1!$A$5:$C$192,3,TRUE)</f>
        <v>1</v>
      </c>
      <c r="K279" s="42" t="str">
        <f>VLOOKUP($D279,Sheet1!$A$5:$C$192,2,TRUE)</f>
        <v>|(</v>
      </c>
      <c r="L279" s="6">
        <f>FLOOR(VLOOKUP($D279,Sheet1!$D$5:$F$192,3,TRUE),1)</f>
        <v>3</v>
      </c>
      <c r="M279" s="42" t="str">
        <f>VLOOKUP($D279,Sheet1!$D$5:$F$192,2,TRUE)</f>
        <v>~|</v>
      </c>
      <c r="N279" s="23">
        <f>FLOOR(VLOOKUP($D279,Sheet1!$G$5:$I$192,3,TRUE),1)</f>
        <v>4</v>
      </c>
      <c r="O279" s="42" t="str">
        <f>VLOOKUP($D279,Sheet1!$G$5:$I$192,2,TRUE)</f>
        <v>'|(</v>
      </c>
      <c r="P279" s="23">
        <v>1</v>
      </c>
      <c r="Q279" s="43" t="str">
        <f>VLOOKUP($D279,Sheet1!$J$5:$L$192,2,TRUE)</f>
        <v>'|(</v>
      </c>
      <c r="R279" s="23">
        <f>FLOOR(VLOOKUP($D279,Sheet1!$M$5:$O$192,3,TRUE),1)</f>
        <v>16</v>
      </c>
      <c r="S279" s="42" t="str">
        <f>VLOOKUP($D279,Sheet1!$M$5:$O$192,2,TRUE)</f>
        <v>~|..</v>
      </c>
      <c r="T279" s="117">
        <f>IF(ABS(D279-VLOOKUP($D279,Sheet1!$M$5:$T$192,8,TRUE))&lt;10^-10,"SoCA",D279-VLOOKUP($D279,Sheet1!$M$5:$T$192,8,TRUE))</f>
        <v>7.0346039183236009E-2</v>
      </c>
      <c r="U279" s="109">
        <f>IF(VLOOKUP($D279,Sheet1!$M$5:$U$192,9,TRUE)=0,"",IF(ABS(D279-VLOOKUP($D279,Sheet1!$M$5:$U$192,9,TRUE))&lt;10^-10,"Alt.",D279-VLOOKUP($D279,Sheet1!$M$5:$U$192,9,TRUE)))</f>
        <v>5.6293871788779093E-2</v>
      </c>
      <c r="V279" s="132">
        <f>$D279-Sheet1!$M$3*$R279</f>
        <v>0.16072269743620904</v>
      </c>
      <c r="Z279" s="6"/>
      <c r="AA279" s="61"/>
    </row>
    <row r="280" spans="1:27" ht="13.5">
      <c r="A280" t="s">
        <v>771</v>
      </c>
      <c r="B280">
        <v>2048</v>
      </c>
      <c r="C280">
        <v>2057</v>
      </c>
      <c r="D280" s="13">
        <f t="shared" si="7"/>
        <v>7.5912942299207051</v>
      </c>
      <c r="E280" s="61">
        <v>17</v>
      </c>
      <c r="F280" s="65">
        <v>62.424439650175401</v>
      </c>
      <c r="G280" s="6">
        <v>725</v>
      </c>
      <c r="H280" s="6">
        <v>617</v>
      </c>
      <c r="I280" s="65">
        <v>-0.46742364232684314</v>
      </c>
      <c r="J280" s="6">
        <f>VLOOKUP($D280,Sheet1!$A$5:$C$192,3,TRUE)</f>
        <v>1</v>
      </c>
      <c r="K280" s="42" t="str">
        <f>VLOOKUP($D280,Sheet1!$A$5:$C$192,2,TRUE)</f>
        <v>|(</v>
      </c>
      <c r="L280" s="6">
        <f>FLOOR(VLOOKUP($D280,Sheet1!$D$5:$F$192,3,TRUE),1)</f>
        <v>3</v>
      </c>
      <c r="M280" s="42" t="str">
        <f>VLOOKUP($D280,Sheet1!$D$5:$F$192,2,TRUE)</f>
        <v>~|</v>
      </c>
      <c r="N280" s="23">
        <f>FLOOR(VLOOKUP($D280,Sheet1!$G$5:$I$192,3,TRUE),1)</f>
        <v>4</v>
      </c>
      <c r="O280" s="42" t="str">
        <f>VLOOKUP($D280,Sheet1!$G$5:$I$192,2,TRUE)</f>
        <v>'|(</v>
      </c>
      <c r="P280" s="23">
        <v>1</v>
      </c>
      <c r="Q280" s="43" t="str">
        <f>VLOOKUP($D280,Sheet1!$J$5:$L$192,2,TRUE)</f>
        <v>'|(</v>
      </c>
      <c r="R280" s="23">
        <f>FLOOR(VLOOKUP($D280,Sheet1!$M$5:$O$192,3,TRUE),1)</f>
        <v>16</v>
      </c>
      <c r="S280" s="42" t="str">
        <f>VLOOKUP($D280,Sheet1!$M$5:$O$192,2,TRUE)</f>
        <v>'|(</v>
      </c>
      <c r="T280" s="117">
        <f>IF(ABS(D280-VLOOKUP($D280,Sheet1!$M$5:$T$192,8,TRUE))&lt;10^-10,"SoCA",D280-VLOOKUP($D280,Sheet1!$M$5:$T$192,8,TRUE))</f>
        <v>-0.12022876139865524</v>
      </c>
      <c r="U280" s="109" t="str">
        <f>IF(VLOOKUP($D280,Sheet1!$M$5:$U$192,9,TRUE)=0,"",IF(ABS(D280-VLOOKUP($D280,Sheet1!$M$5:$U$192,9,TRUE))&lt;10^-10,"Alt.",D280-VLOOKUP($D280,Sheet1!$M$5:$U$192,9,TRUE)))</f>
        <v/>
      </c>
      <c r="V280" s="132">
        <f>$D280-Sheet1!$M$3*$R280</f>
        <v>-0.21540146502947</v>
      </c>
      <c r="Z280" s="6"/>
      <c r="AA280" s="61"/>
    </row>
    <row r="281" spans="1:27" ht="13.5">
      <c r="A281" t="s">
        <v>1274</v>
      </c>
      <c r="B281">
        <v>1048576</v>
      </c>
      <c r="C281">
        <v>1053405</v>
      </c>
      <c r="D281" s="13">
        <f t="shared" si="7"/>
        <v>7.9545380579739042</v>
      </c>
      <c r="E281" s="61">
        <v>17</v>
      </c>
      <c r="F281" s="65">
        <v>63.52396632811309</v>
      </c>
      <c r="G281" s="6">
        <v>1182</v>
      </c>
      <c r="H281" s="6">
        <v>1123</v>
      </c>
      <c r="I281" s="65">
        <v>5.5102101118106059</v>
      </c>
      <c r="J281" s="6">
        <f>VLOOKUP($D281,Sheet1!$A$5:$C$192,3,TRUE)</f>
        <v>1</v>
      </c>
      <c r="K281" s="42" t="str">
        <f>VLOOKUP($D281,Sheet1!$A$5:$C$192,2,TRUE)</f>
        <v>|(</v>
      </c>
      <c r="L281" s="6">
        <f>FLOOR(VLOOKUP($D281,Sheet1!$D$5:$F$192,3,TRUE),1)</f>
        <v>3</v>
      </c>
      <c r="M281" s="42" t="str">
        <f>VLOOKUP($D281,Sheet1!$D$5:$F$192,2,TRUE)</f>
        <v>~|</v>
      </c>
      <c r="N281" s="23">
        <f>FLOOR(VLOOKUP($D281,Sheet1!$G$5:$I$192,3,TRUE),1)</f>
        <v>4</v>
      </c>
      <c r="O281" s="42" t="str">
        <f>VLOOKUP($D281,Sheet1!$G$5:$I$192,2,TRUE)</f>
        <v>'|(</v>
      </c>
      <c r="P281" s="23">
        <v>1</v>
      </c>
      <c r="Q281" s="43" t="str">
        <f>VLOOKUP($D281,Sheet1!$J$5:$L$192,2,TRUE)</f>
        <v>'|(</v>
      </c>
      <c r="R281" s="23">
        <f>FLOOR(VLOOKUP($D281,Sheet1!$M$5:$O$192,3,TRUE),1)</f>
        <v>16</v>
      </c>
      <c r="S281" s="42" t="str">
        <f>VLOOKUP($D281,Sheet1!$M$5:$O$192,2,TRUE)</f>
        <v>~|..</v>
      </c>
      <c r="T281" s="117">
        <f>IF(ABS(D281-VLOOKUP($D281,Sheet1!$M$5:$T$192,8,TRUE))&lt;10^-10,"SoCA",D281-VLOOKUP($D281,Sheet1!$M$5:$T$192,8,TRUE))</f>
        <v>5.7465704770756076E-2</v>
      </c>
      <c r="U281" s="109">
        <f>IF(VLOOKUP($D281,Sheet1!$M$5:$U$192,9,TRUE)=0,"",IF(ABS(D281-VLOOKUP($D281,Sheet1!$M$5:$U$192,9,TRUE))&lt;10^-10,"Alt.",D281-VLOOKUP($D281,Sheet1!$M$5:$U$192,9,TRUE)))</f>
        <v>4.3413537376299161E-2</v>
      </c>
      <c r="V281" s="132">
        <f>$D281-Sheet1!$M$3*$R281</f>
        <v>0.14784236302372911</v>
      </c>
      <c r="Z281" s="6"/>
      <c r="AA281" s="61"/>
    </row>
    <row r="282" spans="1:27" ht="13.5">
      <c r="A282" t="s">
        <v>1468</v>
      </c>
      <c r="B282">
        <v>2187</v>
      </c>
      <c r="C282">
        <v>2197</v>
      </c>
      <c r="D282" s="13">
        <f t="shared" si="7"/>
        <v>7.8979792502198602</v>
      </c>
      <c r="E282" s="61">
        <v>13</v>
      </c>
      <c r="F282" s="65">
        <v>65.552192605443366</v>
      </c>
      <c r="G282" s="6">
        <v>1380</v>
      </c>
      <c r="H282" s="6">
        <v>1317</v>
      </c>
      <c r="I282" s="65">
        <v>-7.4863073563410225</v>
      </c>
      <c r="J282" s="6">
        <f>VLOOKUP($D282,Sheet1!$A$5:$C$192,3,TRUE)</f>
        <v>1</v>
      </c>
      <c r="K282" s="42" t="str">
        <f>VLOOKUP($D282,Sheet1!$A$5:$C$192,2,TRUE)</f>
        <v>|(</v>
      </c>
      <c r="L282" s="6">
        <f>FLOOR(VLOOKUP($D282,Sheet1!$D$5:$F$192,3,TRUE),1)</f>
        <v>3</v>
      </c>
      <c r="M282" s="42" t="str">
        <f>VLOOKUP($D282,Sheet1!$D$5:$F$192,2,TRUE)</f>
        <v>~|</v>
      </c>
      <c r="N282" s="23">
        <f>FLOOR(VLOOKUP($D282,Sheet1!$G$5:$I$192,3,TRUE),1)</f>
        <v>4</v>
      </c>
      <c r="O282" s="42" t="str">
        <f>VLOOKUP($D282,Sheet1!$G$5:$I$192,2,TRUE)</f>
        <v>'|(</v>
      </c>
      <c r="P282" s="23">
        <v>1</v>
      </c>
      <c r="Q282" s="43" t="str">
        <f>VLOOKUP($D282,Sheet1!$J$5:$L$192,2,TRUE)</f>
        <v>'|(</v>
      </c>
      <c r="R282" s="23">
        <f>FLOOR(VLOOKUP($D282,Sheet1!$M$5:$O$192,3,TRUE),1)</f>
        <v>16</v>
      </c>
      <c r="S282" s="42" t="str">
        <f>VLOOKUP($D282,Sheet1!$M$5:$O$192,2,TRUE)</f>
        <v>~|..</v>
      </c>
      <c r="T282" s="117">
        <f>IF(ABS(D282-VLOOKUP($D282,Sheet1!$M$5:$T$192,8,TRUE))&lt;10^-10,"SoCA",D282-VLOOKUP($D282,Sheet1!$M$5:$T$192,8,TRUE))</f>
        <v>9.0689701671209377E-4</v>
      </c>
      <c r="U282" s="109">
        <f>IF(VLOOKUP($D282,Sheet1!$M$5:$U$192,9,TRUE)=0,"",IF(ABS(D282-VLOOKUP($D282,Sheet1!$M$5:$U$192,9,TRUE))&lt;10^-10,"Alt.",D282-VLOOKUP($D282,Sheet1!$M$5:$U$192,9,TRUE)))</f>
        <v>-1.3145270377744822E-2</v>
      </c>
      <c r="V282" s="132">
        <f>$D282-Sheet1!$M$3*$R282</f>
        <v>9.1283555269685124E-2</v>
      </c>
      <c r="Z282" s="6"/>
      <c r="AA282" s="61"/>
    </row>
    <row r="283" spans="1:27" ht="13.5">
      <c r="A283" t="s">
        <v>1084</v>
      </c>
      <c r="B283">
        <v>2500</v>
      </c>
      <c r="C283">
        <v>2511</v>
      </c>
      <c r="D283" s="13">
        <f t="shared" si="7"/>
        <v>7.6007204664605821</v>
      </c>
      <c r="E283" s="61">
        <v>31</v>
      </c>
      <c r="F283" s="65">
        <v>81.902317781321699</v>
      </c>
      <c r="G283" s="6">
        <v>998</v>
      </c>
      <c r="H283" s="6">
        <v>933</v>
      </c>
      <c r="I283" s="65">
        <v>3.5319959499477473</v>
      </c>
      <c r="J283" s="6">
        <f>VLOOKUP($D283,Sheet1!$A$5:$C$192,3,TRUE)</f>
        <v>1</v>
      </c>
      <c r="K283" s="42" t="str">
        <f>VLOOKUP($D283,Sheet1!$A$5:$C$192,2,TRUE)</f>
        <v>|(</v>
      </c>
      <c r="L283" s="6">
        <f>FLOOR(VLOOKUP($D283,Sheet1!$D$5:$F$192,3,TRUE),1)</f>
        <v>3</v>
      </c>
      <c r="M283" s="42" t="str">
        <f>VLOOKUP($D283,Sheet1!$D$5:$F$192,2,TRUE)</f>
        <v>~|</v>
      </c>
      <c r="N283" s="23">
        <f>FLOOR(VLOOKUP($D283,Sheet1!$G$5:$I$192,3,TRUE),1)</f>
        <v>4</v>
      </c>
      <c r="O283" s="42" t="str">
        <f>VLOOKUP($D283,Sheet1!$G$5:$I$192,2,TRUE)</f>
        <v>'|(</v>
      </c>
      <c r="P283" s="23">
        <v>1</v>
      </c>
      <c r="Q283" s="43" t="str">
        <f>VLOOKUP($D283,Sheet1!$J$5:$L$192,2,TRUE)</f>
        <v>'|(</v>
      </c>
      <c r="R283" s="23">
        <f>FLOOR(VLOOKUP($D283,Sheet1!$M$5:$O$192,3,TRUE),1)</f>
        <v>16</v>
      </c>
      <c r="S283" s="42" t="str">
        <f>VLOOKUP($D283,Sheet1!$M$5:$O$192,2,TRUE)</f>
        <v>'|(</v>
      </c>
      <c r="T283" s="117">
        <f>IF(ABS(D283-VLOOKUP($D283,Sheet1!$M$5:$T$192,8,TRUE))&lt;10^-10,"SoCA",D283-VLOOKUP($D283,Sheet1!$M$5:$T$192,8,TRUE))</f>
        <v>-0.11080252485877828</v>
      </c>
      <c r="U283" s="109" t="str">
        <f>IF(VLOOKUP($D283,Sheet1!$M$5:$U$192,9,TRUE)=0,"",IF(ABS(D283-VLOOKUP($D283,Sheet1!$M$5:$U$192,9,TRUE))&lt;10^-10,"Alt.",D283-VLOOKUP($D283,Sheet1!$M$5:$U$192,9,TRUE)))</f>
        <v/>
      </c>
      <c r="V283" s="132">
        <f>$D283-Sheet1!$M$3*$R283</f>
        <v>-0.20597522848959304</v>
      </c>
      <c r="Z283" s="6"/>
      <c r="AA283" s="61"/>
    </row>
    <row r="284" spans="1:27" ht="13.5">
      <c r="A284" t="s">
        <v>682</v>
      </c>
      <c r="B284">
        <v>1593</v>
      </c>
      <c r="C284">
        <v>1600</v>
      </c>
      <c r="D284" s="13">
        <f t="shared" si="7"/>
        <v>7.5907658992979501</v>
      </c>
      <c r="E284" s="61" t="s">
        <v>1931</v>
      </c>
      <c r="F284" s="65">
        <v>83.024424440868174</v>
      </c>
      <c r="G284" s="6">
        <v>573</v>
      </c>
      <c r="H284" s="6">
        <v>527</v>
      </c>
      <c r="I284" s="65">
        <v>-3.4673911110855871</v>
      </c>
      <c r="J284" s="6">
        <f>VLOOKUP($D284,Sheet1!$A$5:$C$192,3,TRUE)</f>
        <v>1</v>
      </c>
      <c r="K284" s="42" t="str">
        <f>VLOOKUP($D284,Sheet1!$A$5:$C$192,2,TRUE)</f>
        <v>|(</v>
      </c>
      <c r="L284" s="6">
        <f>FLOOR(VLOOKUP($D284,Sheet1!$D$5:$F$192,3,TRUE),1)</f>
        <v>3</v>
      </c>
      <c r="M284" s="42" t="str">
        <f>VLOOKUP($D284,Sheet1!$D$5:$F$192,2,TRUE)</f>
        <v>~|</v>
      </c>
      <c r="N284" s="23">
        <f>FLOOR(VLOOKUP($D284,Sheet1!$G$5:$I$192,3,TRUE),1)</f>
        <v>4</v>
      </c>
      <c r="O284" s="42" t="str">
        <f>VLOOKUP($D284,Sheet1!$G$5:$I$192,2,TRUE)</f>
        <v>'|(</v>
      </c>
      <c r="P284" s="23">
        <v>1</v>
      </c>
      <c r="Q284" s="43" t="str">
        <f>VLOOKUP($D284,Sheet1!$J$5:$L$192,2,TRUE)</f>
        <v>'|(</v>
      </c>
      <c r="R284" s="23">
        <f>FLOOR(VLOOKUP($D284,Sheet1!$M$5:$O$192,3,TRUE),1)</f>
        <v>16</v>
      </c>
      <c r="S284" s="42" t="str">
        <f>VLOOKUP($D284,Sheet1!$M$5:$O$192,2,TRUE)</f>
        <v>'|(</v>
      </c>
      <c r="T284" s="117">
        <f>IF(ABS(D284-VLOOKUP($D284,Sheet1!$M$5:$T$192,8,TRUE))&lt;10^-10,"SoCA",D284-VLOOKUP($D284,Sheet1!$M$5:$T$192,8,TRUE))</f>
        <v>-0.12075709202141027</v>
      </c>
      <c r="U284" s="109" t="str">
        <f>IF(VLOOKUP($D284,Sheet1!$M$5:$U$192,9,TRUE)=0,"",IF(ABS(D284-VLOOKUP($D284,Sheet1!$M$5:$U$192,9,TRUE))&lt;10^-10,"Alt.",D284-VLOOKUP($D284,Sheet1!$M$5:$U$192,9,TRUE)))</f>
        <v/>
      </c>
      <c r="V284" s="132">
        <f>$D284-Sheet1!$M$3*$R284</f>
        <v>-0.21592979565222503</v>
      </c>
      <c r="Z284" s="6"/>
      <c r="AA284" s="61"/>
    </row>
    <row r="285" spans="1:27" ht="13.5">
      <c r="A285" t="s">
        <v>766</v>
      </c>
      <c r="B285">
        <v>10449</v>
      </c>
      <c r="C285">
        <v>10496</v>
      </c>
      <c r="D285" s="13">
        <f t="shared" si="7"/>
        <v>7.7696955722459817</v>
      </c>
      <c r="E285" s="61">
        <v>43</v>
      </c>
      <c r="F285" s="65">
        <v>84.94223482289091</v>
      </c>
      <c r="G285" s="6">
        <v>626</v>
      </c>
      <c r="H285" s="6">
        <v>612</v>
      </c>
      <c r="I285" s="65">
        <v>-5.4784084629252865</v>
      </c>
      <c r="J285" s="6">
        <f>VLOOKUP($D285,Sheet1!$A$5:$C$192,3,TRUE)</f>
        <v>1</v>
      </c>
      <c r="K285" s="42" t="str">
        <f>VLOOKUP($D285,Sheet1!$A$5:$C$192,2,TRUE)</f>
        <v>|(</v>
      </c>
      <c r="L285" s="6">
        <f>FLOOR(VLOOKUP($D285,Sheet1!$D$5:$F$192,3,TRUE),1)</f>
        <v>3</v>
      </c>
      <c r="M285" s="42" t="str">
        <f>VLOOKUP($D285,Sheet1!$D$5:$F$192,2,TRUE)</f>
        <v>~|</v>
      </c>
      <c r="N285" s="23">
        <f>FLOOR(VLOOKUP($D285,Sheet1!$G$5:$I$192,3,TRUE),1)</f>
        <v>4</v>
      </c>
      <c r="O285" s="42" t="str">
        <f>VLOOKUP($D285,Sheet1!$G$5:$I$192,2,TRUE)</f>
        <v>'|(</v>
      </c>
      <c r="P285" s="23">
        <v>1</v>
      </c>
      <c r="Q285" s="43" t="str">
        <f>VLOOKUP($D285,Sheet1!$J$5:$L$192,2,TRUE)</f>
        <v>'|(</v>
      </c>
      <c r="R285" s="23">
        <f>FLOOR(VLOOKUP($D285,Sheet1!$M$5:$O$192,3,TRUE),1)</f>
        <v>16</v>
      </c>
      <c r="S285" s="42" t="str">
        <f>VLOOKUP($D285,Sheet1!$M$5:$O$192,2,TRUE)</f>
        <v>'|(</v>
      </c>
      <c r="T285" s="117">
        <f>IF(ABS(D285-VLOOKUP($D285,Sheet1!$M$5:$T$192,8,TRUE))&lt;10^-10,"SoCA",D285-VLOOKUP($D285,Sheet1!$M$5:$T$192,8,TRUE))</f>
        <v>5.8172580926621364E-2</v>
      </c>
      <c r="U285" s="109" t="str">
        <f>IF(VLOOKUP($D285,Sheet1!$M$5:$U$192,9,TRUE)=0,"",IF(ABS(D285-VLOOKUP($D285,Sheet1!$M$5:$U$192,9,TRUE))&lt;10^-10,"Alt.",D285-VLOOKUP($D285,Sheet1!$M$5:$U$192,9,TRUE)))</f>
        <v/>
      </c>
      <c r="V285" s="132">
        <f>$D285-Sheet1!$M$3*$R285</f>
        <v>-3.7000122704193394E-2</v>
      </c>
      <c r="Z285" s="6"/>
      <c r="AA285" s="61"/>
    </row>
    <row r="286" spans="1:27" ht="13.5">
      <c r="A286" t="s">
        <v>1467</v>
      </c>
      <c r="B286">
        <v>120285</v>
      </c>
      <c r="C286">
        <v>120832</v>
      </c>
      <c r="D286" s="13">
        <f t="shared" si="7"/>
        <v>7.854996946905902</v>
      </c>
      <c r="E286" s="61" t="s">
        <v>1931</v>
      </c>
      <c r="F286" s="65">
        <v>93.683210761827212</v>
      </c>
      <c r="G286" s="6">
        <v>1379</v>
      </c>
      <c r="H286" s="6">
        <v>1316</v>
      </c>
      <c r="I286" s="65">
        <v>-7.4836607793329257</v>
      </c>
      <c r="J286" s="6">
        <f>VLOOKUP($D286,Sheet1!$A$5:$C$192,3,TRUE)</f>
        <v>1</v>
      </c>
      <c r="K286" s="42" t="str">
        <f>VLOOKUP($D286,Sheet1!$A$5:$C$192,2,TRUE)</f>
        <v>|(</v>
      </c>
      <c r="L286" s="6">
        <f>FLOOR(VLOOKUP($D286,Sheet1!$D$5:$F$192,3,TRUE),1)</f>
        <v>3</v>
      </c>
      <c r="M286" s="42" t="str">
        <f>VLOOKUP($D286,Sheet1!$D$5:$F$192,2,TRUE)</f>
        <v>~|</v>
      </c>
      <c r="N286" s="23">
        <f>FLOOR(VLOOKUP($D286,Sheet1!$G$5:$I$192,3,TRUE),1)</f>
        <v>4</v>
      </c>
      <c r="O286" s="42" t="str">
        <f>VLOOKUP($D286,Sheet1!$G$5:$I$192,2,TRUE)</f>
        <v>'|(</v>
      </c>
      <c r="P286" s="23">
        <v>1</v>
      </c>
      <c r="Q286" s="43" t="str">
        <f>VLOOKUP($D286,Sheet1!$J$5:$L$192,2,TRUE)</f>
        <v>'|(</v>
      </c>
      <c r="R286" s="23">
        <f>FLOOR(VLOOKUP($D286,Sheet1!$M$5:$O$192,3,TRUE),1)</f>
        <v>16</v>
      </c>
      <c r="S286" s="42" t="str">
        <f>VLOOKUP($D286,Sheet1!$M$5:$O$192,2,TRUE)</f>
        <v>'|(</v>
      </c>
      <c r="T286" s="117">
        <f>IF(ABS(D286-VLOOKUP($D286,Sheet1!$M$5:$T$192,8,TRUE))&lt;10^-10,"SoCA",D286-VLOOKUP($D286,Sheet1!$M$5:$T$192,8,TRUE))</f>
        <v>0.14347395558654163</v>
      </c>
      <c r="U286" s="109" t="str">
        <f>IF(VLOOKUP($D286,Sheet1!$M$5:$U$192,9,TRUE)=0,"",IF(ABS(D286-VLOOKUP($D286,Sheet1!$M$5:$U$192,9,TRUE))&lt;10^-10,"Alt.",D286-VLOOKUP($D286,Sheet1!$M$5:$U$192,9,TRUE)))</f>
        <v/>
      </c>
      <c r="V286" s="132">
        <f>$D286-Sheet1!$M$3*$R286</f>
        <v>4.8301251955726876E-2</v>
      </c>
      <c r="Z286" s="6"/>
      <c r="AA286" s="61"/>
    </row>
    <row r="287" spans="1:27" ht="13.5">
      <c r="A287" t="s">
        <v>1683</v>
      </c>
      <c r="B287">
        <v>999424</v>
      </c>
      <c r="C287">
        <v>1003833</v>
      </c>
      <c r="D287" s="13">
        <f t="shared" si="7"/>
        <v>7.6206130788180682</v>
      </c>
      <c r="E287" s="61" t="s">
        <v>1931</v>
      </c>
      <c r="F287" s="65">
        <v>99.347231553629328</v>
      </c>
      <c r="G287" s="6">
        <v>1584</v>
      </c>
      <c r="H287" s="6">
        <v>1532</v>
      </c>
      <c r="I287" s="65">
        <v>9.5307710893321644</v>
      </c>
      <c r="J287" s="6">
        <f>VLOOKUP($D287,Sheet1!$A$5:$C$192,3,TRUE)</f>
        <v>1</v>
      </c>
      <c r="K287" s="42" t="str">
        <f>VLOOKUP($D287,Sheet1!$A$5:$C$192,2,TRUE)</f>
        <v>|(</v>
      </c>
      <c r="L287" s="6">
        <f>FLOOR(VLOOKUP($D287,Sheet1!$D$5:$F$192,3,TRUE),1)</f>
        <v>3</v>
      </c>
      <c r="M287" s="42" t="str">
        <f>VLOOKUP($D287,Sheet1!$D$5:$F$192,2,TRUE)</f>
        <v>~|</v>
      </c>
      <c r="N287" s="23">
        <f>FLOOR(VLOOKUP($D287,Sheet1!$G$5:$I$192,3,TRUE),1)</f>
        <v>4</v>
      </c>
      <c r="O287" s="42" t="str">
        <f>VLOOKUP($D287,Sheet1!$G$5:$I$192,2,TRUE)</f>
        <v>'|(</v>
      </c>
      <c r="P287" s="23">
        <v>1</v>
      </c>
      <c r="Q287" s="43" t="str">
        <f>VLOOKUP($D287,Sheet1!$J$5:$L$192,2,TRUE)</f>
        <v>'|(</v>
      </c>
      <c r="R287" s="23">
        <f>FLOOR(VLOOKUP($D287,Sheet1!$M$5:$O$192,3,TRUE),1)</f>
        <v>16</v>
      </c>
      <c r="S287" s="42" t="str">
        <f>VLOOKUP($D287,Sheet1!$M$5:$O$192,2,TRUE)</f>
        <v>'|(</v>
      </c>
      <c r="T287" s="117">
        <f>IF(ABS(D287-VLOOKUP($D287,Sheet1!$M$5:$T$192,8,TRUE))&lt;10^-10,"SoCA",D287-VLOOKUP($D287,Sheet1!$M$5:$T$192,8,TRUE))</f>
        <v>-9.0909912501292212E-2</v>
      </c>
      <c r="U287" s="109" t="str">
        <f>IF(VLOOKUP($D287,Sheet1!$M$5:$U$192,9,TRUE)=0,"",IF(ABS(D287-VLOOKUP($D287,Sheet1!$M$5:$U$192,9,TRUE))&lt;10^-10,"Alt.",D287-VLOOKUP($D287,Sheet1!$M$5:$U$192,9,TRUE)))</f>
        <v/>
      </c>
      <c r="V287" s="132">
        <f>$D287-Sheet1!$M$3*$R287</f>
        <v>-0.18608261613210697</v>
      </c>
      <c r="Z287" s="6"/>
      <c r="AA287" s="61"/>
    </row>
    <row r="288" spans="1:27" ht="13.5">
      <c r="A288" t="s">
        <v>684</v>
      </c>
      <c r="B288">
        <v>10240</v>
      </c>
      <c r="C288">
        <v>10287</v>
      </c>
      <c r="D288" s="13">
        <f t="shared" si="7"/>
        <v>7.9279137233139538</v>
      </c>
      <c r="E288" s="61" t="s">
        <v>1931</v>
      </c>
      <c r="F288" s="65">
        <v>132.37077578046419</v>
      </c>
      <c r="G288" s="6">
        <v>574</v>
      </c>
      <c r="H288" s="6">
        <v>529</v>
      </c>
      <c r="I288" s="65">
        <v>3.5118494690933511</v>
      </c>
      <c r="J288" s="6">
        <f>VLOOKUP($D288,Sheet1!$A$5:$C$192,3,TRUE)</f>
        <v>1</v>
      </c>
      <c r="K288" s="42" t="str">
        <f>VLOOKUP($D288,Sheet1!$A$5:$C$192,2,TRUE)</f>
        <v>|(</v>
      </c>
      <c r="L288" s="6">
        <f>FLOOR(VLOOKUP($D288,Sheet1!$D$5:$F$192,3,TRUE),1)</f>
        <v>3</v>
      </c>
      <c r="M288" s="42" t="str">
        <f>VLOOKUP($D288,Sheet1!$D$5:$F$192,2,TRUE)</f>
        <v>~|</v>
      </c>
      <c r="N288" s="23">
        <f>FLOOR(VLOOKUP($D288,Sheet1!$G$5:$I$192,3,TRUE),1)</f>
        <v>4</v>
      </c>
      <c r="O288" s="42" t="str">
        <f>VLOOKUP($D288,Sheet1!$G$5:$I$192,2,TRUE)</f>
        <v>'|(</v>
      </c>
      <c r="P288" s="23">
        <v>1</v>
      </c>
      <c r="Q288" s="43" t="str">
        <f>VLOOKUP($D288,Sheet1!$J$5:$L$192,2,TRUE)</f>
        <v>'|(</v>
      </c>
      <c r="R288" s="23">
        <f>FLOOR(VLOOKUP($D288,Sheet1!$M$5:$O$192,3,TRUE),1)</f>
        <v>16</v>
      </c>
      <c r="S288" s="42" t="str">
        <f>VLOOKUP($D288,Sheet1!$M$5:$O$192,2,TRUE)</f>
        <v>~|..</v>
      </c>
      <c r="T288" s="117">
        <f>IF(ABS(D288-VLOOKUP($D288,Sheet1!$M$5:$T$192,8,TRUE))&lt;10^-10,"SoCA",D288-VLOOKUP($D288,Sheet1!$M$5:$T$192,8,TRUE))</f>
        <v>3.0841370110805677E-2</v>
      </c>
      <c r="U288" s="109">
        <f>IF(VLOOKUP($D288,Sheet1!$M$5:$U$192,9,TRUE)=0,"",IF(ABS(D288-VLOOKUP($D288,Sheet1!$M$5:$U$192,9,TRUE))&lt;10^-10,"Alt.",D288-VLOOKUP($D288,Sheet1!$M$5:$U$192,9,TRUE)))</f>
        <v>1.6789202716348761E-2</v>
      </c>
      <c r="V288" s="132">
        <f>$D288-Sheet1!$M$3*$R288</f>
        <v>0.12121802836377871</v>
      </c>
      <c r="Z288" s="6"/>
      <c r="AA288" s="61"/>
    </row>
    <row r="289" spans="1:27" ht="13.5">
      <c r="A289" t="s">
        <v>1567</v>
      </c>
      <c r="B289">
        <v>1900544</v>
      </c>
      <c r="C289">
        <v>1909251</v>
      </c>
      <c r="D289" s="13">
        <f t="shared" si="7"/>
        <v>7.9132242599535099</v>
      </c>
      <c r="E289" s="61" t="s">
        <v>1931</v>
      </c>
      <c r="F289" s="65">
        <v>137.75692115193644</v>
      </c>
      <c r="G289" s="6">
        <v>1472</v>
      </c>
      <c r="H289" s="6">
        <v>1416</v>
      </c>
      <c r="I289" s="65">
        <v>8.5127539528690832</v>
      </c>
      <c r="J289" s="6">
        <f>VLOOKUP($D289,Sheet1!$A$5:$C$192,3,TRUE)</f>
        <v>1</v>
      </c>
      <c r="K289" s="42" t="str">
        <f>VLOOKUP($D289,Sheet1!$A$5:$C$192,2,TRUE)</f>
        <v>|(</v>
      </c>
      <c r="L289" s="6">
        <f>FLOOR(VLOOKUP($D289,Sheet1!$D$5:$F$192,3,TRUE),1)</f>
        <v>3</v>
      </c>
      <c r="M289" s="42" t="str">
        <f>VLOOKUP($D289,Sheet1!$D$5:$F$192,2,TRUE)</f>
        <v>~|</v>
      </c>
      <c r="N289" s="23">
        <f>FLOOR(VLOOKUP($D289,Sheet1!$G$5:$I$192,3,TRUE),1)</f>
        <v>4</v>
      </c>
      <c r="O289" s="42" t="str">
        <f>VLOOKUP($D289,Sheet1!$G$5:$I$192,2,TRUE)</f>
        <v>'|(</v>
      </c>
      <c r="P289" s="23">
        <v>1</v>
      </c>
      <c r="Q289" s="43" t="str">
        <f>VLOOKUP($D289,Sheet1!$J$5:$L$192,2,TRUE)</f>
        <v>'|(</v>
      </c>
      <c r="R289" s="23">
        <f>FLOOR(VLOOKUP($D289,Sheet1!$M$5:$O$192,3,TRUE),1)</f>
        <v>16</v>
      </c>
      <c r="S289" s="42" t="str">
        <f>VLOOKUP($D289,Sheet1!$M$5:$O$192,2,TRUE)</f>
        <v>~|..</v>
      </c>
      <c r="T289" s="117">
        <f>IF(ABS(D289-VLOOKUP($D289,Sheet1!$M$5:$T$192,8,TRUE))&lt;10^-10,"SoCA",D289-VLOOKUP($D289,Sheet1!$M$5:$T$192,8,TRUE))</f>
        <v>1.6151906750361711E-2</v>
      </c>
      <c r="U289" s="109">
        <f>IF(VLOOKUP($D289,Sheet1!$M$5:$U$192,9,TRUE)=0,"",IF(ABS(D289-VLOOKUP($D289,Sheet1!$M$5:$U$192,9,TRUE))&lt;10^-10,"Alt.",D289-VLOOKUP($D289,Sheet1!$M$5:$U$192,9,TRUE)))</f>
        <v>2.099739355904795E-3</v>
      </c>
      <c r="V289" s="132">
        <f>$D289-Sheet1!$M$3*$R289</f>
        <v>0.10652856500333474</v>
      </c>
      <c r="Z289" s="6"/>
      <c r="AA289" s="61"/>
    </row>
    <row r="290" spans="1:27" ht="13.5">
      <c r="A290" t="s">
        <v>979</v>
      </c>
      <c r="B290">
        <v>20992</v>
      </c>
      <c r="C290">
        <v>21087</v>
      </c>
      <c r="D290" s="13">
        <f t="shared" si="7"/>
        <v>7.8170828248371809</v>
      </c>
      <c r="E290" s="61" t="s">
        <v>1931</v>
      </c>
      <c r="F290" s="65">
        <v>147.78311691713489</v>
      </c>
      <c r="G290" s="6">
        <v>892</v>
      </c>
      <c r="H290" s="6">
        <v>827</v>
      </c>
      <c r="I290" s="65">
        <v>2.5186737312915124</v>
      </c>
      <c r="J290" s="6">
        <f>VLOOKUP($D290,Sheet1!$A$5:$C$192,3,TRUE)</f>
        <v>1</v>
      </c>
      <c r="K290" s="42" t="str">
        <f>VLOOKUP($D290,Sheet1!$A$5:$C$192,2,TRUE)</f>
        <v>|(</v>
      </c>
      <c r="L290" s="6">
        <f>FLOOR(VLOOKUP($D290,Sheet1!$D$5:$F$192,3,TRUE),1)</f>
        <v>3</v>
      </c>
      <c r="M290" s="42" t="str">
        <f>VLOOKUP($D290,Sheet1!$D$5:$F$192,2,TRUE)</f>
        <v>~|</v>
      </c>
      <c r="N290" s="23">
        <f>FLOOR(VLOOKUP($D290,Sheet1!$G$5:$I$192,3,TRUE),1)</f>
        <v>4</v>
      </c>
      <c r="O290" s="42" t="str">
        <f>VLOOKUP($D290,Sheet1!$G$5:$I$192,2,TRUE)</f>
        <v>'|(</v>
      </c>
      <c r="P290" s="23">
        <v>1</v>
      </c>
      <c r="Q290" s="43" t="str">
        <f>VLOOKUP($D290,Sheet1!$J$5:$L$192,2,TRUE)</f>
        <v>'|(</v>
      </c>
      <c r="R290" s="23">
        <f>FLOOR(VLOOKUP($D290,Sheet1!$M$5:$O$192,3,TRUE),1)</f>
        <v>16</v>
      </c>
      <c r="S290" s="42" t="str">
        <f>VLOOKUP($D290,Sheet1!$M$5:$O$192,2,TRUE)</f>
        <v>'|(</v>
      </c>
      <c r="T290" s="117">
        <f>IF(ABS(D290-VLOOKUP($D290,Sheet1!$M$5:$T$192,8,TRUE))&lt;10^-10,"SoCA",D290-VLOOKUP($D290,Sheet1!$M$5:$T$192,8,TRUE))</f>
        <v>0.1055598335178205</v>
      </c>
      <c r="U290" s="109" t="str">
        <f>IF(VLOOKUP($D290,Sheet1!$M$5:$U$192,9,TRUE)=0,"",IF(ABS(D290-VLOOKUP($D290,Sheet1!$M$5:$U$192,9,TRUE))&lt;10^-10,"Alt.",D290-VLOOKUP($D290,Sheet1!$M$5:$U$192,9,TRUE)))</f>
        <v/>
      </c>
      <c r="V290" s="132">
        <f>$D290-Sheet1!$M$3*$R290</f>
        <v>1.0387129887005742E-2</v>
      </c>
      <c r="Z290" s="6"/>
      <c r="AA290" s="61"/>
    </row>
    <row r="291" spans="1:27" ht="13.5">
      <c r="A291" t="s">
        <v>1768</v>
      </c>
      <c r="B291">
        <v>664403968</v>
      </c>
      <c r="C291">
        <v>667312749</v>
      </c>
      <c r="D291" s="13">
        <f t="shared" si="7"/>
        <v>7.562852748760962</v>
      </c>
      <c r="E291" s="61" t="s">
        <v>1931</v>
      </c>
      <c r="F291" s="65">
        <v>4809.9533096447049</v>
      </c>
      <c r="G291" s="6">
        <v>1543</v>
      </c>
      <c r="H291" s="6">
        <v>1617</v>
      </c>
      <c r="I291" s="65">
        <v>10.534327603286119</v>
      </c>
      <c r="J291" s="6">
        <f>VLOOKUP($D291,Sheet1!$A$5:$C$192,3,TRUE)</f>
        <v>1</v>
      </c>
      <c r="K291" s="42" t="str">
        <f>VLOOKUP($D291,Sheet1!$A$5:$C$192,2,TRUE)</f>
        <v>|(</v>
      </c>
      <c r="L291" s="6">
        <f>FLOOR(VLOOKUP($D291,Sheet1!$D$5:$F$192,3,TRUE),1)</f>
        <v>3</v>
      </c>
      <c r="M291" s="42" t="str">
        <f>VLOOKUP($D291,Sheet1!$D$5:$F$192,2,TRUE)</f>
        <v>~|</v>
      </c>
      <c r="N291" s="23">
        <f>FLOOR(VLOOKUP($D291,Sheet1!$G$5:$I$192,3,TRUE),1)</f>
        <v>4</v>
      </c>
      <c r="O291" s="42" t="str">
        <f>VLOOKUP($D291,Sheet1!$G$5:$I$192,2,TRUE)</f>
        <v>'|(</v>
      </c>
      <c r="P291" s="23">
        <v>1</v>
      </c>
      <c r="Q291" s="43" t="str">
        <f>VLOOKUP($D291,Sheet1!$J$5:$L$192,2,TRUE)</f>
        <v>'|(</v>
      </c>
      <c r="R291" s="23">
        <f>FLOOR(VLOOKUP($D291,Sheet1!$M$5:$O$192,3,TRUE),1)</f>
        <v>16</v>
      </c>
      <c r="S291" s="42" t="str">
        <f>VLOOKUP($D291,Sheet1!$M$5:$O$192,2,TRUE)</f>
        <v>'|(</v>
      </c>
      <c r="T291" s="117">
        <f>IF(ABS(D291-VLOOKUP($D291,Sheet1!$M$5:$T$192,8,TRUE))&lt;10^-10,"SoCA",D291-VLOOKUP($D291,Sheet1!$M$5:$T$192,8,TRUE))</f>
        <v>-0.14867024255839834</v>
      </c>
      <c r="U291" s="109" t="str">
        <f>IF(VLOOKUP($D291,Sheet1!$M$5:$U$192,9,TRUE)=0,"",IF(ABS(D291-VLOOKUP($D291,Sheet1!$M$5:$U$192,9,TRUE))&lt;10^-10,"Alt.",D291-VLOOKUP($D291,Sheet1!$M$5:$U$192,9,TRUE)))</f>
        <v/>
      </c>
      <c r="V291" s="132">
        <f>$D291-Sheet1!$M$3*$R291</f>
        <v>-0.24384294618921309</v>
      </c>
      <c r="Z291" s="6"/>
      <c r="AA291" s="61"/>
    </row>
    <row r="292" spans="1:27" ht="13.5">
      <c r="A292" t="s">
        <v>872</v>
      </c>
      <c r="B292">
        <v>66778304</v>
      </c>
      <c r="C292">
        <v>67085883</v>
      </c>
      <c r="D292" s="13">
        <f t="shared" ref="D292:D323" si="8">1200*LN($C292/$B292)/LN(2)</f>
        <v>7.9557077451778131</v>
      </c>
      <c r="E292" s="61" t="s">
        <v>1931</v>
      </c>
      <c r="F292" s="65">
        <v>8497398.3018120844</v>
      </c>
      <c r="G292" s="6">
        <v>783</v>
      </c>
      <c r="H292" s="6">
        <v>719</v>
      </c>
      <c r="I292" s="65">
        <v>1.5101380899080585</v>
      </c>
      <c r="J292" s="6">
        <f>VLOOKUP($D292,Sheet1!$A$5:$C$192,3,TRUE)</f>
        <v>1</v>
      </c>
      <c r="K292" s="42" t="str">
        <f>VLOOKUP($D292,Sheet1!$A$5:$C$192,2,TRUE)</f>
        <v>|(</v>
      </c>
      <c r="L292" s="6">
        <f>FLOOR(VLOOKUP($D292,Sheet1!$D$5:$F$192,3,TRUE),1)</f>
        <v>3</v>
      </c>
      <c r="M292" s="42" t="str">
        <f>VLOOKUP($D292,Sheet1!$D$5:$F$192,2,TRUE)</f>
        <v>~|</v>
      </c>
      <c r="N292" s="23">
        <f>FLOOR(VLOOKUP($D292,Sheet1!$G$5:$I$192,3,TRUE),1)</f>
        <v>4</v>
      </c>
      <c r="O292" s="42" t="str">
        <f>VLOOKUP($D292,Sheet1!$G$5:$I$192,2,TRUE)</f>
        <v>'|(</v>
      </c>
      <c r="P292" s="23">
        <v>1</v>
      </c>
      <c r="Q292" s="43" t="str">
        <f>VLOOKUP($D292,Sheet1!$J$5:$L$192,2,TRUE)</f>
        <v>'|(</v>
      </c>
      <c r="R292" s="23">
        <f>FLOOR(VLOOKUP($D292,Sheet1!$M$5:$O$192,3,TRUE),1)</f>
        <v>16</v>
      </c>
      <c r="S292" s="42" t="str">
        <f>VLOOKUP($D292,Sheet1!$M$5:$O$192,2,TRUE)</f>
        <v>~|..</v>
      </c>
      <c r="T292" s="117">
        <f>IF(ABS(D292-VLOOKUP($D292,Sheet1!$M$5:$T$192,8,TRUE))&lt;10^-10,"SoCA",D292-VLOOKUP($D292,Sheet1!$M$5:$T$192,8,TRUE))</f>
        <v>5.8635391974664941E-2</v>
      </c>
      <c r="U292" s="109">
        <f>IF(VLOOKUP($D292,Sheet1!$M$5:$U$192,9,TRUE)=0,"",IF(ABS(D292-VLOOKUP($D292,Sheet1!$M$5:$U$192,9,TRUE))&lt;10^-10,"Alt.",D292-VLOOKUP($D292,Sheet1!$M$5:$U$192,9,TRUE)))</f>
        <v>4.4583224580208025E-2</v>
      </c>
      <c r="V292" s="132">
        <f>$D292-Sheet1!$M$3*$R292</f>
        <v>0.14901205022763797</v>
      </c>
      <c r="Z292" s="6"/>
      <c r="AA292" s="61"/>
    </row>
    <row r="293" spans="1:27" ht="13.5">
      <c r="A293" s="38" t="s">
        <v>37</v>
      </c>
      <c r="B293" s="38">
        <f>2^10</f>
        <v>1024</v>
      </c>
      <c r="C293" s="38">
        <f>3*7^3</f>
        <v>1029</v>
      </c>
      <c r="D293" s="13">
        <f t="shared" si="8"/>
        <v>8.4327202727622055</v>
      </c>
      <c r="E293" s="61">
        <v>7</v>
      </c>
      <c r="F293" s="65">
        <v>33.629407145218643</v>
      </c>
      <c r="G293" s="6">
        <v>42</v>
      </c>
      <c r="H293" s="6">
        <v>39</v>
      </c>
      <c r="I293" s="65">
        <v>0.48076669073343337</v>
      </c>
      <c r="J293" s="6">
        <f>VLOOKUP($D293,Sheet1!$A$5:$C$192,3,TRUE)</f>
        <v>2</v>
      </c>
      <c r="K293" s="42" t="str">
        <f>VLOOKUP($D293,Sheet1!$A$5:$C$192,2,TRUE)</f>
        <v>)|(</v>
      </c>
      <c r="L293" s="6">
        <f>FLOOR(VLOOKUP($D293,Sheet1!$D$5:$F$192,3,TRUE),1)</f>
        <v>3</v>
      </c>
      <c r="M293" s="42" t="str">
        <f>VLOOKUP($D293,Sheet1!$D$5:$F$192,2,TRUE)</f>
        <v>~|</v>
      </c>
      <c r="N293" s="23">
        <f>FLOOR(VLOOKUP($D293,Sheet1!$G$5:$I$192,3,TRUE),1)</f>
        <v>4</v>
      </c>
      <c r="O293" s="42" t="str">
        <f>VLOOKUP($D293,Sheet1!$G$5:$I$192,2,TRUE)</f>
        <v>~|</v>
      </c>
      <c r="P293" s="23">
        <v>1</v>
      </c>
      <c r="Q293" s="45" t="str">
        <f>VLOOKUP($D293,Sheet1!$J$5:$L$192,2,TRUE)</f>
        <v>~|.</v>
      </c>
      <c r="R293" s="38">
        <f>FLOOR(VLOOKUP($D293,Sheet1!$M$5:$O$192,3,TRUE),1)</f>
        <v>17</v>
      </c>
      <c r="S293" s="45" t="str">
        <f>VLOOKUP($D293,Sheet1!$M$5:$O$192,2,TRUE)</f>
        <v>~|.</v>
      </c>
      <c r="T293" s="108">
        <f>IF(ABS(D293-VLOOKUP($D293,Sheet1!$M$5:$T$192,8,TRUE))&lt;10^-10,"SoCA",D293-VLOOKUP($D293,Sheet1!$M$5:$T$192,8,TRUE))</f>
        <v>0.12583988141228275</v>
      </c>
      <c r="U293" s="108">
        <f>IF(VLOOKUP($D293,Sheet1!$M$5:$U$192,9,TRUE)=0,"",IF(ABS(D293-VLOOKUP($D293,Sheet1!$M$5:$U$192,9,TRUE))&lt;10^-10,"Alt.",D293-VLOOKUP($D293,Sheet1!$M$5:$U$192,9,TRUE)))</f>
        <v>9.8879586209848824E-2</v>
      </c>
      <c r="V293" s="133">
        <f>$D293-Sheet1!$M$3*$R293</f>
        <v>0.13810609687764419</v>
      </c>
      <c r="Z293" s="6"/>
      <c r="AA293" s="61"/>
    </row>
    <row r="294" spans="1:27" ht="13.5">
      <c r="A294" s="14" t="s">
        <v>278</v>
      </c>
      <c r="B294" s="14">
        <f>3^2*23</f>
        <v>207</v>
      </c>
      <c r="C294" s="14">
        <f>2^4*13</f>
        <v>208</v>
      </c>
      <c r="D294" s="13">
        <f t="shared" si="8"/>
        <v>8.3433127701203489</v>
      </c>
      <c r="E294" s="61">
        <v>23</v>
      </c>
      <c r="F294" s="65">
        <v>36.097570736932077</v>
      </c>
      <c r="G294" s="6">
        <v>100</v>
      </c>
      <c r="H294" s="6">
        <v>91</v>
      </c>
      <c r="I294" s="65">
        <v>-2.5137281635996414</v>
      </c>
      <c r="J294" s="6">
        <f>VLOOKUP($D294,Sheet1!$A$5:$C$192,3,TRUE)</f>
        <v>2</v>
      </c>
      <c r="K294" s="42" t="str">
        <f>VLOOKUP($D294,Sheet1!$A$5:$C$192,2,TRUE)</f>
        <v>)|(</v>
      </c>
      <c r="L294" s="6">
        <f>FLOOR(VLOOKUP($D294,Sheet1!$D$5:$F$192,3,TRUE),1)</f>
        <v>3</v>
      </c>
      <c r="M294" s="42" t="str">
        <f>VLOOKUP($D294,Sheet1!$D$5:$F$192,2,TRUE)</f>
        <v>~|</v>
      </c>
      <c r="N294" s="23">
        <f>FLOOR(VLOOKUP($D294,Sheet1!$G$5:$I$192,3,TRUE),1)</f>
        <v>4</v>
      </c>
      <c r="O294" s="42" t="str">
        <f>VLOOKUP($D294,Sheet1!$G$5:$I$192,2,TRUE)</f>
        <v>~|</v>
      </c>
      <c r="P294" s="23">
        <v>1</v>
      </c>
      <c r="Q294" s="43" t="str">
        <f>VLOOKUP($D294,Sheet1!$J$5:$L$192,2,TRUE)</f>
        <v>~|.</v>
      </c>
      <c r="R294" s="23">
        <f>FLOOR(VLOOKUP($D294,Sheet1!$M$5:$O$192,3,TRUE),1)</f>
        <v>17</v>
      </c>
      <c r="S294" s="42" t="str">
        <f>VLOOKUP($D294,Sheet1!$M$5:$O$192,2,TRUE)</f>
        <v>~|.</v>
      </c>
      <c r="T294" s="117">
        <f>IF(ABS(D294-VLOOKUP($D294,Sheet1!$M$5:$T$192,8,TRUE))&lt;10^-10,"SoCA",D294-VLOOKUP($D294,Sheet1!$M$5:$T$192,8,TRUE))</f>
        <v>3.6432378770426155E-2</v>
      </c>
      <c r="U294" s="109">
        <f>IF(VLOOKUP($D294,Sheet1!$M$5:$U$192,9,TRUE)=0,"",IF(ABS(D294-VLOOKUP($D294,Sheet1!$M$5:$U$192,9,TRUE))&lt;10^-10,"Alt.",D294-VLOOKUP($D294,Sheet1!$M$5:$U$192,9,TRUE)))</f>
        <v>9.4720835679922288E-3</v>
      </c>
      <c r="V294" s="132">
        <f>$D294-Sheet1!$M$3*$R294</f>
        <v>4.8698594235787596E-2</v>
      </c>
      <c r="Z294" s="6"/>
      <c r="AA294" s="61"/>
    </row>
    <row r="295" spans="1:27" ht="13.5">
      <c r="A295" s="6" t="s">
        <v>773</v>
      </c>
      <c r="B295" s="6">
        <f>11*19</f>
        <v>209</v>
      </c>
      <c r="C295" s="6">
        <f>2*3*5*7</f>
        <v>210</v>
      </c>
      <c r="D295" s="13">
        <f t="shared" si="8"/>
        <v>8.263662702287716</v>
      </c>
      <c r="E295" s="61">
        <v>19</v>
      </c>
      <c r="F295" s="65">
        <v>42.035596748797893</v>
      </c>
      <c r="G295" s="6">
        <v>661</v>
      </c>
      <c r="H295" s="6">
        <v>619</v>
      </c>
      <c r="I295" s="65">
        <v>0.49117618125780982</v>
      </c>
      <c r="J295" s="6">
        <f>VLOOKUP($D295,Sheet1!$A$5:$C$192,3,TRUE)</f>
        <v>2</v>
      </c>
      <c r="K295" s="42" t="str">
        <f>VLOOKUP($D295,Sheet1!$A$5:$C$192,2,TRUE)</f>
        <v>)|(</v>
      </c>
      <c r="L295" s="6">
        <f>FLOOR(VLOOKUP($D295,Sheet1!$D$5:$F$192,3,TRUE),1)</f>
        <v>3</v>
      </c>
      <c r="M295" s="42" t="str">
        <f>VLOOKUP($D295,Sheet1!$D$5:$F$192,2,TRUE)</f>
        <v>~|</v>
      </c>
      <c r="N295" s="23">
        <f>FLOOR(VLOOKUP($D295,Sheet1!$G$5:$I$192,3,TRUE),1)</f>
        <v>4</v>
      </c>
      <c r="O295" s="42" t="str">
        <f>VLOOKUP($D295,Sheet1!$G$5:$I$192,2,TRUE)</f>
        <v>~|</v>
      </c>
      <c r="P295" s="23">
        <v>1</v>
      </c>
      <c r="Q295" s="43" t="str">
        <f>VLOOKUP($D295,Sheet1!$J$5:$L$192,2,TRUE)</f>
        <v>~|.</v>
      </c>
      <c r="R295" s="23">
        <f>FLOOR(VLOOKUP($D295,Sheet1!$M$5:$O$192,3,TRUE),1)</f>
        <v>17</v>
      </c>
      <c r="S295" s="42" t="str">
        <f>VLOOKUP($D295,Sheet1!$M$5:$O$192,2,TRUE)</f>
        <v>'|('</v>
      </c>
      <c r="T295" s="117">
        <f>IF(ABS(D295-VLOOKUP($D295,Sheet1!$M$5:$T$192,8,TRUE))&lt;10^-10,"SoCA",D295-VLOOKUP($D295,Sheet1!$M$5:$T$192,8,TRUE))</f>
        <v>0.12942354501353215</v>
      </c>
      <c r="U295" s="109">
        <f>IF(VLOOKUP($D295,Sheet1!$M$5:$U$192,9,TRUE)=0,"",IF(ABS(D295-VLOOKUP($D295,Sheet1!$M$5:$U$192,9,TRUE))&lt;10^-10,"Alt.",D295-VLOOKUP($D295,Sheet1!$M$5:$U$192,9,TRUE)))</f>
        <v>0.15638384021596607</v>
      </c>
      <c r="V295" s="132">
        <f>$D295-Sheet1!$M$3*$R295</f>
        <v>-3.0951473596845247E-2</v>
      </c>
      <c r="Z295" s="6"/>
      <c r="AA295" s="61"/>
    </row>
    <row r="296" spans="1:27" ht="13.5">
      <c r="A296" s="23" t="s">
        <v>774</v>
      </c>
      <c r="B296" s="23">
        <f>7^2*13</f>
        <v>637</v>
      </c>
      <c r="C296" s="23">
        <f>2^7*5</f>
        <v>640</v>
      </c>
      <c r="D296" s="13">
        <f t="shared" si="8"/>
        <v>8.1342391572742283</v>
      </c>
      <c r="E296" s="61">
        <v>13</v>
      </c>
      <c r="F296" s="65">
        <v>44.823523296141268</v>
      </c>
      <c r="G296" s="6">
        <v>726</v>
      </c>
      <c r="H296" s="6">
        <v>620</v>
      </c>
      <c r="I296" s="65">
        <v>-0.50085473956006388</v>
      </c>
      <c r="J296" s="6">
        <f>VLOOKUP($D296,Sheet1!$A$5:$C$192,3,TRUE)</f>
        <v>2</v>
      </c>
      <c r="K296" s="42" t="str">
        <f>VLOOKUP($D296,Sheet1!$A$5:$C$192,2,TRUE)</f>
        <v>)|(</v>
      </c>
      <c r="L296" s="6">
        <f>FLOOR(VLOOKUP($D296,Sheet1!$D$5:$F$192,3,TRUE),1)</f>
        <v>3</v>
      </c>
      <c r="M296" s="42" t="str">
        <f>VLOOKUP($D296,Sheet1!$D$5:$F$192,2,TRUE)</f>
        <v>~|</v>
      </c>
      <c r="N296" s="23">
        <f>FLOOR(VLOOKUP($D296,Sheet1!$G$5:$I$192,3,TRUE),1)</f>
        <v>4</v>
      </c>
      <c r="O296" s="42" t="str">
        <f>VLOOKUP($D296,Sheet1!$G$5:$I$192,2,TRUE)</f>
        <v>~|</v>
      </c>
      <c r="P296" s="23">
        <v>1</v>
      </c>
      <c r="Q296" s="43" t="str">
        <f>VLOOKUP($D296,Sheet1!$J$5:$L$192,2,TRUE)</f>
        <v>~|.</v>
      </c>
      <c r="R296" s="23">
        <f>FLOOR(VLOOKUP($D296,Sheet1!$M$5:$O$192,3,TRUE),1)</f>
        <v>17</v>
      </c>
      <c r="S296" s="43" t="str">
        <f>VLOOKUP($D296,Sheet1!$M$5:$O$192,2,TRUE)</f>
        <v>'|('</v>
      </c>
      <c r="T296" s="124" t="str">
        <f>IF(ABS(D296-VLOOKUP($D296,Sheet1!$M$5:$T$192,8,TRUE))&lt;10^-10,"SoCA",D296-VLOOKUP($D296,Sheet1!$M$5:$T$192,8,TRUE))</f>
        <v>SoCA</v>
      </c>
      <c r="U296" s="117">
        <f>IF(VLOOKUP($D296,Sheet1!$M$5:$U$192,9,TRUE)=0,"",IF(ABS(D296-VLOOKUP($D296,Sheet1!$M$5:$U$192,9,TRUE))&lt;10^-10,"Alt.",D296-VLOOKUP($D296,Sheet1!$M$5:$U$192,9,TRUE)))</f>
        <v>2.6960295202478335E-2</v>
      </c>
      <c r="V296" s="132">
        <f>$D296-Sheet1!$M$3*$R296</f>
        <v>-0.16037501861033299</v>
      </c>
      <c r="Z296" s="6"/>
      <c r="AA296" s="61"/>
    </row>
    <row r="297" spans="1:27" ht="13.5">
      <c r="A297" t="s">
        <v>1565</v>
      </c>
      <c r="B297">
        <v>688905</v>
      </c>
      <c r="C297">
        <v>692224</v>
      </c>
      <c r="D297" s="13">
        <f t="shared" si="8"/>
        <v>8.3206954161747806</v>
      </c>
      <c r="E297" s="61">
        <v>13</v>
      </c>
      <c r="F297" s="65">
        <v>50.657975054973583</v>
      </c>
      <c r="G297" s="6">
        <v>1332</v>
      </c>
      <c r="H297" s="6">
        <v>1414</v>
      </c>
      <c r="I297" s="65">
        <v>-9.5123355307177064</v>
      </c>
      <c r="J297" s="6">
        <f>VLOOKUP($D297,Sheet1!$A$5:$C$192,3,TRUE)</f>
        <v>2</v>
      </c>
      <c r="K297" s="42" t="str">
        <f>VLOOKUP($D297,Sheet1!$A$5:$C$192,2,TRUE)</f>
        <v>)|(</v>
      </c>
      <c r="L297" s="6">
        <f>FLOOR(VLOOKUP($D297,Sheet1!$D$5:$F$192,3,TRUE),1)</f>
        <v>3</v>
      </c>
      <c r="M297" s="42" t="str">
        <f>VLOOKUP($D297,Sheet1!$D$5:$F$192,2,TRUE)</f>
        <v>~|</v>
      </c>
      <c r="N297" s="23">
        <f>FLOOR(VLOOKUP($D297,Sheet1!$G$5:$I$192,3,TRUE),1)</f>
        <v>4</v>
      </c>
      <c r="O297" s="42" t="str">
        <f>VLOOKUP($D297,Sheet1!$G$5:$I$192,2,TRUE)</f>
        <v>~|</v>
      </c>
      <c r="P297" s="23">
        <v>1</v>
      </c>
      <c r="Q297" s="43" t="str">
        <f>VLOOKUP($D297,Sheet1!$J$5:$L$192,2,TRUE)</f>
        <v>~|.</v>
      </c>
      <c r="R297" s="23">
        <f>FLOOR(VLOOKUP($D297,Sheet1!$M$5:$O$192,3,TRUE),1)</f>
        <v>17</v>
      </c>
      <c r="S297" s="42" t="str">
        <f>VLOOKUP($D297,Sheet1!$M$5:$O$192,2,TRUE)</f>
        <v>~|.</v>
      </c>
      <c r="T297" s="117">
        <f>IF(ABS(D297-VLOOKUP($D297,Sheet1!$M$5:$T$192,8,TRUE))&lt;10^-10,"SoCA",D297-VLOOKUP($D297,Sheet1!$M$5:$T$192,8,TRUE))</f>
        <v>1.3815024824857858E-2</v>
      </c>
      <c r="U297" s="109">
        <f>IF(VLOOKUP($D297,Sheet1!$M$5:$U$192,9,TRUE)=0,"",IF(ABS(D297-VLOOKUP($D297,Sheet1!$M$5:$U$192,9,TRUE))&lt;10^-10,"Alt.",D297-VLOOKUP($D297,Sheet1!$M$5:$U$192,9,TRUE)))</f>
        <v>-1.3145270377576068E-2</v>
      </c>
      <c r="V297" s="132">
        <f>$D297-Sheet1!$M$3*$R297</f>
        <v>2.6081240290219299E-2</v>
      </c>
      <c r="Z297" s="6"/>
      <c r="AA297" s="61"/>
    </row>
    <row r="298" spans="1:27" ht="13.5">
      <c r="A298" t="s">
        <v>961</v>
      </c>
      <c r="B298">
        <v>450560</v>
      </c>
      <c r="C298">
        <v>452709</v>
      </c>
      <c r="D298" s="13">
        <f t="shared" si="8"/>
        <v>8.2376988273106697</v>
      </c>
      <c r="E298" s="61">
        <v>23</v>
      </c>
      <c r="F298" s="65">
        <v>55.746804684210886</v>
      </c>
      <c r="G298" s="6">
        <v>616</v>
      </c>
      <c r="H298" s="6">
        <v>809</v>
      </c>
      <c r="I298" s="65">
        <v>8.4927748716316938</v>
      </c>
      <c r="J298" s="6">
        <f>VLOOKUP($D298,Sheet1!$A$5:$C$192,3,TRUE)</f>
        <v>2</v>
      </c>
      <c r="K298" s="42" t="str">
        <f>VLOOKUP($D298,Sheet1!$A$5:$C$192,2,TRUE)</f>
        <v>)|(</v>
      </c>
      <c r="L298" s="6">
        <f>FLOOR(VLOOKUP($D298,Sheet1!$D$5:$F$192,3,TRUE),1)</f>
        <v>3</v>
      </c>
      <c r="M298" s="42" t="str">
        <f>VLOOKUP($D298,Sheet1!$D$5:$F$192,2,TRUE)</f>
        <v>~|</v>
      </c>
      <c r="N298" s="23">
        <f>FLOOR(VLOOKUP($D298,Sheet1!$G$5:$I$192,3,TRUE),1)</f>
        <v>4</v>
      </c>
      <c r="O298" s="42" t="str">
        <f>VLOOKUP($D298,Sheet1!$G$5:$I$192,2,TRUE)</f>
        <v>~|</v>
      </c>
      <c r="P298" s="23">
        <v>1</v>
      </c>
      <c r="Q298" s="43" t="str">
        <f>VLOOKUP($D298,Sheet1!$J$5:$L$192,2,TRUE)</f>
        <v>~|.</v>
      </c>
      <c r="R298" s="23">
        <f>FLOOR(VLOOKUP($D298,Sheet1!$M$5:$O$192,3,TRUE),1)</f>
        <v>17</v>
      </c>
      <c r="S298" s="42" t="str">
        <f>VLOOKUP($D298,Sheet1!$M$5:$O$192,2,TRUE)</f>
        <v>'|('</v>
      </c>
      <c r="T298" s="117">
        <f>IF(ABS(D298-VLOOKUP($D298,Sheet1!$M$5:$T$192,8,TRUE))&lt;10^-10,"SoCA",D298-VLOOKUP($D298,Sheet1!$M$5:$T$192,8,TRUE))</f>
        <v>0.10345967003648582</v>
      </c>
      <c r="U298" s="109">
        <f>IF(VLOOKUP($D298,Sheet1!$M$5:$U$192,9,TRUE)=0,"",IF(ABS(D298-VLOOKUP($D298,Sheet1!$M$5:$U$192,9,TRUE))&lt;10^-10,"Alt.",D298-VLOOKUP($D298,Sheet1!$M$5:$U$192,9,TRUE)))</f>
        <v>0.13041996523891974</v>
      </c>
      <c r="V298" s="132">
        <f>$D298-Sheet1!$M$3*$R298</f>
        <v>-5.6915348573891578E-2</v>
      </c>
      <c r="Z298" s="6"/>
      <c r="AA298" s="61"/>
    </row>
    <row r="299" spans="1:27" ht="13.5">
      <c r="A299" t="s">
        <v>1276</v>
      </c>
      <c r="B299">
        <v>15795</v>
      </c>
      <c r="C299">
        <v>15872</v>
      </c>
      <c r="D299" s="13">
        <f t="shared" si="8"/>
        <v>8.4191925031678636</v>
      </c>
      <c r="E299" s="61">
        <v>31</v>
      </c>
      <c r="F299" s="65">
        <v>59.645314308362707</v>
      </c>
      <c r="G299" s="6">
        <v>1184</v>
      </c>
      <c r="H299" s="6">
        <v>1125</v>
      </c>
      <c r="I299" s="65">
        <v>-5.5184003552082954</v>
      </c>
      <c r="J299" s="6">
        <f>VLOOKUP($D299,Sheet1!$A$5:$C$192,3,TRUE)</f>
        <v>2</v>
      </c>
      <c r="K299" s="42" t="str">
        <f>VLOOKUP($D299,Sheet1!$A$5:$C$192,2,TRUE)</f>
        <v>)|(</v>
      </c>
      <c r="L299" s="6">
        <f>FLOOR(VLOOKUP($D299,Sheet1!$D$5:$F$192,3,TRUE),1)</f>
        <v>3</v>
      </c>
      <c r="M299" s="42" t="str">
        <f>VLOOKUP($D299,Sheet1!$D$5:$F$192,2,TRUE)</f>
        <v>~|</v>
      </c>
      <c r="N299" s="23">
        <f>FLOOR(VLOOKUP($D299,Sheet1!$G$5:$I$192,3,TRUE),1)</f>
        <v>4</v>
      </c>
      <c r="O299" s="42" t="str">
        <f>VLOOKUP($D299,Sheet1!$G$5:$I$192,2,TRUE)</f>
        <v>~|</v>
      </c>
      <c r="P299" s="23">
        <v>1</v>
      </c>
      <c r="Q299" s="43" t="str">
        <f>VLOOKUP($D299,Sheet1!$J$5:$L$192,2,TRUE)</f>
        <v>~|.</v>
      </c>
      <c r="R299" s="23">
        <f>FLOOR(VLOOKUP($D299,Sheet1!$M$5:$O$192,3,TRUE),1)</f>
        <v>17</v>
      </c>
      <c r="S299" s="42" t="str">
        <f>VLOOKUP($D299,Sheet1!$M$5:$O$192,2,TRUE)</f>
        <v>~|.</v>
      </c>
      <c r="T299" s="117">
        <f>IF(ABS(D299-VLOOKUP($D299,Sheet1!$M$5:$T$192,8,TRUE))&lt;10^-10,"SoCA",D299-VLOOKUP($D299,Sheet1!$M$5:$T$192,8,TRUE))</f>
        <v>0.11231211181794087</v>
      </c>
      <c r="U299" s="109">
        <f>IF(VLOOKUP($D299,Sheet1!$M$5:$U$192,9,TRUE)=0,"",IF(ABS(D299-VLOOKUP($D299,Sheet1!$M$5:$U$192,9,TRUE))&lt;10^-10,"Alt.",D299-VLOOKUP($D299,Sheet1!$M$5:$U$192,9,TRUE)))</f>
        <v>8.5351816615506948E-2</v>
      </c>
      <c r="V299" s="132">
        <f>$D299-Sheet1!$M$3*$R299</f>
        <v>0.12457832728330231</v>
      </c>
      <c r="Z299" s="6"/>
      <c r="AA299" s="61"/>
    </row>
    <row r="300" spans="1:27" ht="13.5">
      <c r="A300" s="40" t="s">
        <v>291</v>
      </c>
      <c r="B300" s="40">
        <f>2^6*3^5</f>
        <v>15552</v>
      </c>
      <c r="C300" s="40">
        <f>5^6</f>
        <v>15625</v>
      </c>
      <c r="D300" s="13">
        <f t="shared" si="8"/>
        <v>8.107278862072004</v>
      </c>
      <c r="E300" s="61">
        <v>5</v>
      </c>
      <c r="F300" s="65">
        <v>66.739305905942501</v>
      </c>
      <c r="G300" s="6">
        <v>124</v>
      </c>
      <c r="H300" s="6">
        <v>116</v>
      </c>
      <c r="I300" s="65">
        <v>-5.4991946959627596</v>
      </c>
      <c r="J300" s="6">
        <f>VLOOKUP($D300,Sheet1!$A$5:$C$192,3,TRUE)</f>
        <v>2</v>
      </c>
      <c r="K300" s="42" t="str">
        <f>VLOOKUP($D300,Sheet1!$A$5:$C$192,2,TRUE)</f>
        <v>)|(</v>
      </c>
      <c r="L300" s="6">
        <f>FLOOR(VLOOKUP($D300,Sheet1!$D$5:$F$192,3,TRUE),1)</f>
        <v>3</v>
      </c>
      <c r="M300" s="42" t="str">
        <f>VLOOKUP($D300,Sheet1!$D$5:$F$192,2,TRUE)</f>
        <v>~|</v>
      </c>
      <c r="N300" s="23">
        <f>FLOOR(VLOOKUP($D300,Sheet1!$G$5:$I$192,3,TRUE),1)</f>
        <v>4</v>
      </c>
      <c r="O300" s="42" t="str">
        <f>VLOOKUP($D300,Sheet1!$G$5:$I$192,2,TRUE)</f>
        <v>~|</v>
      </c>
      <c r="P300" s="23">
        <v>1</v>
      </c>
      <c r="Q300" s="43" t="str">
        <f>VLOOKUP($D300,Sheet1!$J$5:$L$192,2,TRUE)</f>
        <v>~|.</v>
      </c>
      <c r="R300" s="40">
        <f>FLOOR(VLOOKUP($D300,Sheet1!$M$5:$O$192,3,TRUE),1)</f>
        <v>17</v>
      </c>
      <c r="S300" s="46" t="str">
        <f>VLOOKUP($D300,Sheet1!$M$5:$O$192,2,TRUE)</f>
        <v>'|('</v>
      </c>
      <c r="T300" s="115">
        <f>IF(ABS(D300-VLOOKUP($D300,Sheet1!$M$5:$T$192,8,TRUE))&lt;10^-10,"SoCA",D300-VLOOKUP($D300,Sheet1!$M$5:$T$192,8,TRUE))</f>
        <v>-2.6960295202179907E-2</v>
      </c>
      <c r="U300" s="116" t="str">
        <f>IF(VLOOKUP($D300,Sheet1!$M$5:$U$192,9,TRUE)=0,"",IF(ABS(D300-VLOOKUP($D300,Sheet1!$M$5:$U$192,9,TRUE))&lt;10^-10,"Alt.",D300-VLOOKUP($D300,Sheet1!$M$5:$U$192,9,TRUE)))</f>
        <v>Alt.</v>
      </c>
      <c r="V300" s="132">
        <f>$D300-Sheet1!$M$3*$R300</f>
        <v>-0.1873353138125573</v>
      </c>
      <c r="Z300" s="6"/>
      <c r="AA300" s="61"/>
    </row>
    <row r="301" spans="1:27" ht="13.5">
      <c r="A301" t="s">
        <v>980</v>
      </c>
      <c r="B301">
        <v>260865</v>
      </c>
      <c r="C301">
        <v>262144</v>
      </c>
      <c r="D301" s="13">
        <f t="shared" si="8"/>
        <v>8.4673600749759412</v>
      </c>
      <c r="E301" s="61">
        <v>31</v>
      </c>
      <c r="F301" s="65">
        <v>115.3127296600745</v>
      </c>
      <c r="G301" s="6">
        <v>893</v>
      </c>
      <c r="H301" s="6">
        <v>828</v>
      </c>
      <c r="I301" s="65">
        <v>-2.5213662080885366</v>
      </c>
      <c r="J301" s="6">
        <f>VLOOKUP($D301,Sheet1!$A$5:$C$192,3,TRUE)</f>
        <v>2</v>
      </c>
      <c r="K301" s="42" t="str">
        <f>VLOOKUP($D301,Sheet1!$A$5:$C$192,2,TRUE)</f>
        <v>)|(</v>
      </c>
      <c r="L301" s="6">
        <f>FLOOR(VLOOKUP($D301,Sheet1!$D$5:$F$192,3,TRUE),1)</f>
        <v>3</v>
      </c>
      <c r="M301" s="42" t="str">
        <f>VLOOKUP($D301,Sheet1!$D$5:$F$192,2,TRUE)</f>
        <v>~|</v>
      </c>
      <c r="N301" s="23">
        <f>FLOOR(VLOOKUP($D301,Sheet1!$G$5:$I$192,3,TRUE),1)</f>
        <v>4</v>
      </c>
      <c r="O301" s="42" t="str">
        <f>VLOOKUP($D301,Sheet1!$G$5:$I$192,2,TRUE)</f>
        <v>~|</v>
      </c>
      <c r="P301" s="23">
        <v>1</v>
      </c>
      <c r="Q301" s="43" t="str">
        <f>VLOOKUP($D301,Sheet1!$J$5:$L$192,2,TRUE)</f>
        <v>~|.</v>
      </c>
      <c r="R301" s="23">
        <f>FLOOR(VLOOKUP($D301,Sheet1!$M$5:$O$192,3,TRUE),1)</f>
        <v>17</v>
      </c>
      <c r="S301" s="42" t="str">
        <f>VLOOKUP($D301,Sheet1!$M$5:$O$192,2,TRUE)</f>
        <v>~|.</v>
      </c>
      <c r="T301" s="117">
        <f>IF(ABS(D301-VLOOKUP($D301,Sheet1!$M$5:$T$192,8,TRUE))&lt;10^-10,"SoCA",D301-VLOOKUP($D301,Sheet1!$M$5:$T$192,8,TRUE))</f>
        <v>0.1604796836260185</v>
      </c>
      <c r="U301" s="109">
        <f>IF(VLOOKUP($D301,Sheet1!$M$5:$U$192,9,TRUE)=0,"",IF(ABS(D301-VLOOKUP($D301,Sheet1!$M$5:$U$192,9,TRUE))&lt;10^-10,"Alt.",D301-VLOOKUP($D301,Sheet1!$M$5:$U$192,9,TRUE)))</f>
        <v>0.13351938842358457</v>
      </c>
      <c r="V301" s="132">
        <f>$D301-Sheet1!$M$3*$R301</f>
        <v>0.17274589909137994</v>
      </c>
      <c r="Z301" s="6"/>
      <c r="AA301" s="61"/>
    </row>
    <row r="302" spans="1:27" ht="13.5">
      <c r="A302" t="s">
        <v>1082</v>
      </c>
      <c r="B302">
        <v>1048</v>
      </c>
      <c r="C302">
        <v>1053</v>
      </c>
      <c r="D302" s="13">
        <f t="shared" si="8"/>
        <v>8.2400633859201093</v>
      </c>
      <c r="E302" s="61" t="s">
        <v>1931</v>
      </c>
      <c r="F302" s="65">
        <v>144.37519045001721</v>
      </c>
      <c r="G302" s="6">
        <v>997</v>
      </c>
      <c r="H302" s="6">
        <v>931</v>
      </c>
      <c r="I302" s="65">
        <v>3.4926292771435539</v>
      </c>
      <c r="J302" s="6">
        <f>VLOOKUP($D302,Sheet1!$A$5:$C$192,3,TRUE)</f>
        <v>2</v>
      </c>
      <c r="K302" s="42" t="str">
        <f>VLOOKUP($D302,Sheet1!$A$5:$C$192,2,TRUE)</f>
        <v>)|(</v>
      </c>
      <c r="L302" s="6">
        <f>FLOOR(VLOOKUP($D302,Sheet1!$D$5:$F$192,3,TRUE),1)</f>
        <v>3</v>
      </c>
      <c r="M302" s="42" t="str">
        <f>VLOOKUP($D302,Sheet1!$D$5:$F$192,2,TRUE)</f>
        <v>~|</v>
      </c>
      <c r="N302" s="23">
        <f>FLOOR(VLOOKUP($D302,Sheet1!$G$5:$I$192,3,TRUE),1)</f>
        <v>4</v>
      </c>
      <c r="O302" s="42" t="str">
        <f>VLOOKUP($D302,Sheet1!$G$5:$I$192,2,TRUE)</f>
        <v>~|</v>
      </c>
      <c r="P302" s="23">
        <v>1</v>
      </c>
      <c r="Q302" s="43" t="str">
        <f>VLOOKUP($D302,Sheet1!$J$5:$L$192,2,TRUE)</f>
        <v>~|.</v>
      </c>
      <c r="R302" s="23">
        <f>FLOOR(VLOOKUP($D302,Sheet1!$M$5:$O$192,3,TRUE),1)</f>
        <v>17</v>
      </c>
      <c r="S302" s="42" t="str">
        <f>VLOOKUP($D302,Sheet1!$M$5:$O$192,2,TRUE)</f>
        <v>'|('</v>
      </c>
      <c r="T302" s="117">
        <f>IF(ABS(D302-VLOOKUP($D302,Sheet1!$M$5:$T$192,8,TRUE))&lt;10^-10,"SoCA",D302-VLOOKUP($D302,Sheet1!$M$5:$T$192,8,TRUE))</f>
        <v>0.10582422864592544</v>
      </c>
      <c r="U302" s="109">
        <f>IF(VLOOKUP($D302,Sheet1!$M$5:$U$192,9,TRUE)=0,"",IF(ABS(D302-VLOOKUP($D302,Sheet1!$M$5:$U$192,9,TRUE))&lt;10^-10,"Alt.",D302-VLOOKUP($D302,Sheet1!$M$5:$U$192,9,TRUE)))</f>
        <v>0.13278452384835937</v>
      </c>
      <c r="V302" s="132">
        <f>$D302-Sheet1!$M$3*$R302</f>
        <v>-5.4550789964451951E-2</v>
      </c>
      <c r="Z302" s="6"/>
      <c r="AA302" s="61"/>
    </row>
    <row r="303" spans="1:27" ht="13.5">
      <c r="A303" t="s">
        <v>1076</v>
      </c>
      <c r="B303">
        <v>36352</v>
      </c>
      <c r="C303">
        <v>36531</v>
      </c>
      <c r="D303" s="13">
        <f t="shared" si="8"/>
        <v>8.5038079623881799</v>
      </c>
      <c r="E303" s="61" t="s">
        <v>1931</v>
      </c>
      <c r="F303" s="65">
        <v>147.96181893034694</v>
      </c>
      <c r="G303" s="6">
        <v>992</v>
      </c>
      <c r="H303" s="6">
        <v>925</v>
      </c>
      <c r="I303" s="65">
        <v>3.4763895626966086</v>
      </c>
      <c r="J303" s="6">
        <f>VLOOKUP($D303,Sheet1!$A$5:$C$192,3,TRUE)</f>
        <v>2</v>
      </c>
      <c r="K303" s="42" t="str">
        <f>VLOOKUP($D303,Sheet1!$A$5:$C$192,2,TRUE)</f>
        <v>)|(</v>
      </c>
      <c r="L303" s="6">
        <f>FLOOR(VLOOKUP($D303,Sheet1!$D$5:$F$192,3,TRUE),1)</f>
        <v>3</v>
      </c>
      <c r="M303" s="42" t="str">
        <f>VLOOKUP($D303,Sheet1!$D$5:$F$192,2,TRUE)</f>
        <v>~|</v>
      </c>
      <c r="N303" s="23">
        <f>FLOOR(VLOOKUP($D303,Sheet1!$G$5:$I$192,3,TRUE),1)</f>
        <v>4</v>
      </c>
      <c r="O303" s="42" t="str">
        <f>VLOOKUP($D303,Sheet1!$G$5:$I$192,2,TRUE)</f>
        <v>~|</v>
      </c>
      <c r="P303" s="23">
        <v>1</v>
      </c>
      <c r="Q303" s="43" t="str">
        <f>VLOOKUP($D303,Sheet1!$J$5:$L$192,2,TRUE)</f>
        <v>~|.</v>
      </c>
      <c r="R303" s="23">
        <f>FLOOR(VLOOKUP($D303,Sheet1!$M$5:$O$192,3,TRUE),1)</f>
        <v>17</v>
      </c>
      <c r="S303" s="42" t="str">
        <f>VLOOKUP($D303,Sheet1!$M$5:$O$192,2,TRUE)</f>
        <v>~|.</v>
      </c>
      <c r="T303" s="117">
        <f>IF(ABS(D303-VLOOKUP($D303,Sheet1!$M$5:$T$192,8,TRUE))&lt;10^-10,"SoCA",D303-VLOOKUP($D303,Sheet1!$M$5:$T$192,8,TRUE))</f>
        <v>0.1969275710382572</v>
      </c>
      <c r="U303" s="109">
        <f>IF(VLOOKUP($D303,Sheet1!$M$5:$U$192,9,TRUE)=0,"",IF(ABS(D303-VLOOKUP($D303,Sheet1!$M$5:$U$192,9,TRUE))&lt;10^-10,"Alt.",D303-VLOOKUP($D303,Sheet1!$M$5:$U$192,9,TRUE)))</f>
        <v>0.16996727583582327</v>
      </c>
      <c r="V303" s="132">
        <f>$D303-Sheet1!$M$3*$R303</f>
        <v>0.20919378650361864</v>
      </c>
      <c r="Z303" s="6"/>
      <c r="AA303" s="61"/>
    </row>
    <row r="304" spans="1:27" ht="13.5">
      <c r="A304" s="6" t="s">
        <v>1889</v>
      </c>
      <c r="B304">
        <v>1879048192</v>
      </c>
      <c r="C304">
        <v>1888209873</v>
      </c>
      <c r="D304" s="13">
        <f t="shared" si="8"/>
        <v>8.4204719129908376</v>
      </c>
      <c r="E304" s="61">
        <v>19</v>
      </c>
      <c r="F304" s="65">
        <v>152.9346215055788</v>
      </c>
      <c r="G304" s="59">
        <v>1725</v>
      </c>
      <c r="H304" s="63">
        <v>1000094</v>
      </c>
      <c r="I304" s="65">
        <v>11.481520866867761</v>
      </c>
      <c r="J304" s="6">
        <f>VLOOKUP($D304,Sheet1!$A$5:$C$192,3,TRUE)</f>
        <v>2</v>
      </c>
      <c r="K304" s="42" t="str">
        <f>VLOOKUP($D304,Sheet1!$A$5:$C$192,2,TRUE)</f>
        <v>)|(</v>
      </c>
      <c r="L304" s="6">
        <f>FLOOR(VLOOKUP($D304,Sheet1!$D$5:$F$192,3,TRUE),1)</f>
        <v>3</v>
      </c>
      <c r="M304" s="42" t="str">
        <f>VLOOKUP($D304,Sheet1!$D$5:$F$192,2,TRUE)</f>
        <v>~|</v>
      </c>
      <c r="N304" s="23">
        <f>FLOOR(VLOOKUP($D304,Sheet1!$G$5:$I$192,3,TRUE),1)</f>
        <v>4</v>
      </c>
      <c r="O304" s="42" t="str">
        <f>VLOOKUP($D304,Sheet1!$G$5:$I$192,2,TRUE)</f>
        <v>~|</v>
      </c>
      <c r="P304" s="23">
        <v>1</v>
      </c>
      <c r="Q304" s="43" t="str">
        <f>VLOOKUP($D304,Sheet1!$J$5:$L$192,2,TRUE)</f>
        <v>~|.</v>
      </c>
      <c r="R304" s="23">
        <f>FLOOR(VLOOKUP($D304,Sheet1!$M$5:$O$192,3,TRUE),1)</f>
        <v>17</v>
      </c>
      <c r="S304" s="42" t="str">
        <f>VLOOKUP($D304,Sheet1!$M$5:$O$192,2,TRUE)</f>
        <v>~|.</v>
      </c>
      <c r="T304" s="117">
        <f>IF(ABS(D304-VLOOKUP($D304,Sheet1!$M$5:$T$192,8,TRUE))&lt;10^-10,"SoCA",D304-VLOOKUP($D304,Sheet1!$M$5:$T$192,8,TRUE))</f>
        <v>0.11359152164091491</v>
      </c>
      <c r="U304" s="109">
        <f>IF(VLOOKUP($D304,Sheet1!$M$5:$U$192,9,TRUE)=0,"",IF(ABS(D304-VLOOKUP($D304,Sheet1!$M$5:$U$192,9,TRUE))&lt;10^-10,"Alt.",D304-VLOOKUP($D304,Sheet1!$M$5:$U$192,9,TRUE)))</f>
        <v>8.6631226438480979E-2</v>
      </c>
      <c r="V304" s="132">
        <f>$D304-Sheet1!$M$3*$R304</f>
        <v>0.12585773710627635</v>
      </c>
      <c r="Z304" s="6"/>
      <c r="AA304" s="61"/>
    </row>
    <row r="305" spans="1:27" ht="13.5">
      <c r="A305" t="s">
        <v>1370</v>
      </c>
      <c r="B305">
        <v>99873</v>
      </c>
      <c r="C305">
        <v>100352</v>
      </c>
      <c r="D305" s="13">
        <f t="shared" si="8"/>
        <v>8.2833081932933936</v>
      </c>
      <c r="E305" s="61" t="s">
        <v>1931</v>
      </c>
      <c r="F305" s="65">
        <v>183.35565041106528</v>
      </c>
      <c r="G305" s="6">
        <v>1284</v>
      </c>
      <c r="H305" s="6">
        <v>1219</v>
      </c>
      <c r="I305" s="65">
        <v>-6.5100334631958301</v>
      </c>
      <c r="J305" s="6">
        <f>VLOOKUP($D305,Sheet1!$A$5:$C$192,3,TRUE)</f>
        <v>2</v>
      </c>
      <c r="K305" s="42" t="str">
        <f>VLOOKUP($D305,Sheet1!$A$5:$C$192,2,TRUE)</f>
        <v>)|(</v>
      </c>
      <c r="L305" s="6">
        <f>FLOOR(VLOOKUP($D305,Sheet1!$D$5:$F$192,3,TRUE),1)</f>
        <v>3</v>
      </c>
      <c r="M305" s="42" t="str">
        <f>VLOOKUP($D305,Sheet1!$D$5:$F$192,2,TRUE)</f>
        <v>~|</v>
      </c>
      <c r="N305" s="23">
        <f>FLOOR(VLOOKUP($D305,Sheet1!$G$5:$I$192,3,TRUE),1)</f>
        <v>4</v>
      </c>
      <c r="O305" s="42" t="str">
        <f>VLOOKUP($D305,Sheet1!$G$5:$I$192,2,TRUE)</f>
        <v>~|</v>
      </c>
      <c r="P305" s="23">
        <v>1</v>
      </c>
      <c r="Q305" s="43" t="str">
        <f>VLOOKUP($D305,Sheet1!$J$5:$L$192,2,TRUE)</f>
        <v>~|.</v>
      </c>
      <c r="R305" s="23">
        <f>FLOOR(VLOOKUP($D305,Sheet1!$M$5:$O$192,3,TRUE),1)</f>
        <v>17</v>
      </c>
      <c r="S305" s="42" t="str">
        <f>VLOOKUP($D305,Sheet1!$M$5:$O$192,2,TRUE)</f>
        <v>~|.</v>
      </c>
      <c r="T305" s="117">
        <f>IF(ABS(D305-VLOOKUP($D305,Sheet1!$M$5:$T$192,8,TRUE))&lt;10^-10,"SoCA",D305-VLOOKUP($D305,Sheet1!$M$5:$T$192,8,TRUE))</f>
        <v>-2.3572198056529103E-2</v>
      </c>
      <c r="U305" s="109">
        <f>IF(VLOOKUP($D305,Sheet1!$M$5:$U$192,9,TRUE)=0,"",IF(ABS(D305-VLOOKUP($D305,Sheet1!$M$5:$U$192,9,TRUE))&lt;10^-10,"Alt.",D305-VLOOKUP($D305,Sheet1!$M$5:$U$192,9,TRUE)))</f>
        <v>-5.0532493258963029E-2</v>
      </c>
      <c r="V305" s="132">
        <f>$D305-Sheet1!$M$3*$R305</f>
        <v>-1.1305982591167663E-2</v>
      </c>
      <c r="Z305" s="6"/>
      <c r="AA305" s="61"/>
    </row>
    <row r="306" spans="1:27" ht="13.5">
      <c r="A306" t="s">
        <v>1080</v>
      </c>
      <c r="B306">
        <v>50384</v>
      </c>
      <c r="C306">
        <v>50625</v>
      </c>
      <c r="D306" s="13">
        <f t="shared" si="8"/>
        <v>8.2612083583973384</v>
      </c>
      <c r="E306" s="61" t="s">
        <v>1931</v>
      </c>
      <c r="F306" s="65">
        <v>187.96971107619905</v>
      </c>
      <c r="G306" s="6">
        <v>995</v>
      </c>
      <c r="H306" s="6">
        <v>929</v>
      </c>
      <c r="I306" s="65">
        <v>3.4913273041528021</v>
      </c>
      <c r="J306" s="6">
        <f>VLOOKUP($D306,Sheet1!$A$5:$C$192,3,TRUE)</f>
        <v>2</v>
      </c>
      <c r="K306" s="42" t="str">
        <f>VLOOKUP($D306,Sheet1!$A$5:$C$192,2,TRUE)</f>
        <v>)|(</v>
      </c>
      <c r="L306" s="6">
        <f>FLOOR(VLOOKUP($D306,Sheet1!$D$5:$F$192,3,TRUE),1)</f>
        <v>3</v>
      </c>
      <c r="M306" s="42" t="str">
        <f>VLOOKUP($D306,Sheet1!$D$5:$F$192,2,TRUE)</f>
        <v>~|</v>
      </c>
      <c r="N306" s="23">
        <f>FLOOR(VLOOKUP($D306,Sheet1!$G$5:$I$192,3,TRUE),1)</f>
        <v>4</v>
      </c>
      <c r="O306" s="42" t="str">
        <f>VLOOKUP($D306,Sheet1!$G$5:$I$192,2,TRUE)</f>
        <v>~|</v>
      </c>
      <c r="P306" s="23">
        <v>1</v>
      </c>
      <c r="Q306" s="43" t="str">
        <f>VLOOKUP($D306,Sheet1!$J$5:$L$192,2,TRUE)</f>
        <v>~|.</v>
      </c>
      <c r="R306" s="23">
        <f>FLOOR(VLOOKUP($D306,Sheet1!$M$5:$O$192,3,TRUE),1)</f>
        <v>17</v>
      </c>
      <c r="S306" s="42" t="str">
        <f>VLOOKUP($D306,Sheet1!$M$5:$O$192,2,TRUE)</f>
        <v>'|('</v>
      </c>
      <c r="T306" s="117">
        <f>IF(ABS(D306-VLOOKUP($D306,Sheet1!$M$5:$T$192,8,TRUE))&lt;10^-10,"SoCA",D306-VLOOKUP($D306,Sheet1!$M$5:$T$192,8,TRUE))</f>
        <v>0.12696920112315446</v>
      </c>
      <c r="U306" s="109">
        <f>IF(VLOOKUP($D306,Sheet1!$M$5:$U$192,9,TRUE)=0,"",IF(ABS(D306-VLOOKUP($D306,Sheet1!$M$5:$U$192,9,TRUE))&lt;10^-10,"Alt.",D306-VLOOKUP($D306,Sheet1!$M$5:$U$192,9,TRUE)))</f>
        <v>0.15392949632558839</v>
      </c>
      <c r="V306" s="132">
        <f>$D306-Sheet1!$M$3*$R306</f>
        <v>-3.3405817487222933E-2</v>
      </c>
      <c r="Z306" s="6"/>
      <c r="AA306" s="61"/>
    </row>
    <row r="307" spans="1:27" ht="13.5">
      <c r="A307" s="6" t="s">
        <v>1862</v>
      </c>
      <c r="B307">
        <v>3702784</v>
      </c>
      <c r="C307">
        <v>3720087</v>
      </c>
      <c r="D307" s="13">
        <f t="shared" si="8"/>
        <v>8.0711619555485257</v>
      </c>
      <c r="E307" s="61" t="s">
        <v>1931</v>
      </c>
      <c r="F307" s="65">
        <v>212.86424092817785</v>
      </c>
      <c r="G307" s="59">
        <v>1696</v>
      </c>
      <c r="H307" s="63">
        <v>1000067</v>
      </c>
      <c r="I307" s="65">
        <v>11.503029153552944</v>
      </c>
      <c r="J307" s="6">
        <f>VLOOKUP($D307,Sheet1!$A$5:$C$192,3,TRUE)</f>
        <v>2</v>
      </c>
      <c r="K307" s="42" t="str">
        <f>VLOOKUP($D307,Sheet1!$A$5:$C$192,2,TRUE)</f>
        <v>)|(</v>
      </c>
      <c r="L307" s="6">
        <f>FLOOR(VLOOKUP($D307,Sheet1!$D$5:$F$192,3,TRUE),1)</f>
        <v>3</v>
      </c>
      <c r="M307" s="42" t="str">
        <f>VLOOKUP($D307,Sheet1!$D$5:$F$192,2,TRUE)</f>
        <v>~|</v>
      </c>
      <c r="N307" s="23">
        <f>FLOOR(VLOOKUP($D307,Sheet1!$G$5:$I$192,3,TRUE),1)</f>
        <v>4</v>
      </c>
      <c r="O307" s="42" t="str">
        <f>VLOOKUP($D307,Sheet1!$G$5:$I$192,2,TRUE)</f>
        <v>~|</v>
      </c>
      <c r="P307" s="23">
        <v>1</v>
      </c>
      <c r="Q307" s="43" t="str">
        <f>VLOOKUP($D307,Sheet1!$J$5:$L$192,2,TRUE)</f>
        <v>~|.</v>
      </c>
      <c r="R307" s="23">
        <f>FLOOR(VLOOKUP($D307,Sheet1!$M$5:$O$192,3,TRUE),1)</f>
        <v>17</v>
      </c>
      <c r="S307" s="42" t="str">
        <f>VLOOKUP($D307,Sheet1!$M$5:$O$192,2,TRUE)</f>
        <v>'|('</v>
      </c>
      <c r="T307" s="117">
        <f>IF(ABS(D307-VLOOKUP($D307,Sheet1!$M$5:$T$192,8,TRUE))&lt;10^-10,"SoCA",D307-VLOOKUP($D307,Sheet1!$M$5:$T$192,8,TRUE))</f>
        <v>-6.3077201725658227E-2</v>
      </c>
      <c r="U307" s="109">
        <f>IF(VLOOKUP($D307,Sheet1!$M$5:$U$192,9,TRUE)=0,"",IF(ABS(D307-VLOOKUP($D307,Sheet1!$M$5:$U$192,9,TRUE))&lt;10^-10,"Alt.",D307-VLOOKUP($D307,Sheet1!$M$5:$U$192,9,TRUE)))</f>
        <v>-3.6116906523224301E-2</v>
      </c>
      <c r="V307" s="132">
        <f>$D307-Sheet1!$M$3*$R307</f>
        <v>-0.22345222033603562</v>
      </c>
      <c r="Z307" s="6"/>
      <c r="AA307" s="61"/>
    </row>
    <row r="308" spans="1:27" ht="13.5">
      <c r="A308" t="s">
        <v>1077</v>
      </c>
      <c r="B308">
        <v>32000</v>
      </c>
      <c r="C308">
        <v>32157</v>
      </c>
      <c r="D308" s="13">
        <f t="shared" si="8"/>
        <v>8.4730984385943735</v>
      </c>
      <c r="E308" s="61" t="s">
        <v>1931</v>
      </c>
      <c r="F308" s="65">
        <v>577.25180276203184</v>
      </c>
      <c r="G308" s="6">
        <v>993</v>
      </c>
      <c r="H308" s="6">
        <v>926</v>
      </c>
      <c r="I308" s="65">
        <v>3.4782804599574795</v>
      </c>
      <c r="J308" s="6">
        <f>VLOOKUP($D308,Sheet1!$A$5:$C$192,3,TRUE)</f>
        <v>2</v>
      </c>
      <c r="K308" s="42" t="str">
        <f>VLOOKUP($D308,Sheet1!$A$5:$C$192,2,TRUE)</f>
        <v>)|(</v>
      </c>
      <c r="L308" s="6">
        <f>FLOOR(VLOOKUP($D308,Sheet1!$D$5:$F$192,3,TRUE),1)</f>
        <v>3</v>
      </c>
      <c r="M308" s="42" t="str">
        <f>VLOOKUP($D308,Sheet1!$D$5:$F$192,2,TRUE)</f>
        <v>~|</v>
      </c>
      <c r="N308" s="23">
        <f>FLOOR(VLOOKUP($D308,Sheet1!$G$5:$I$192,3,TRUE),1)</f>
        <v>4</v>
      </c>
      <c r="O308" s="42" t="str">
        <f>VLOOKUP($D308,Sheet1!$G$5:$I$192,2,TRUE)</f>
        <v>~|</v>
      </c>
      <c r="P308" s="23">
        <v>1</v>
      </c>
      <c r="Q308" s="43" t="str">
        <f>VLOOKUP($D308,Sheet1!$J$5:$L$192,2,TRUE)</f>
        <v>~|.</v>
      </c>
      <c r="R308" s="23">
        <f>FLOOR(VLOOKUP($D308,Sheet1!$M$5:$O$192,3,TRUE),1)</f>
        <v>17</v>
      </c>
      <c r="S308" s="42" t="str">
        <f>VLOOKUP($D308,Sheet1!$M$5:$O$192,2,TRUE)</f>
        <v>~|.</v>
      </c>
      <c r="T308" s="117">
        <f>IF(ABS(D308-VLOOKUP($D308,Sheet1!$M$5:$T$192,8,TRUE))&lt;10^-10,"SoCA",D308-VLOOKUP($D308,Sheet1!$M$5:$T$192,8,TRUE))</f>
        <v>0.16621804724445077</v>
      </c>
      <c r="U308" s="109">
        <f>IF(VLOOKUP($D308,Sheet1!$M$5:$U$192,9,TRUE)=0,"",IF(ABS(D308-VLOOKUP($D308,Sheet1!$M$5:$U$192,9,TRUE))&lt;10^-10,"Alt.",D308-VLOOKUP($D308,Sheet1!$M$5:$U$192,9,TRUE)))</f>
        <v>0.13925775204201685</v>
      </c>
      <c r="V308" s="132">
        <f>$D308-Sheet1!$M$3*$R308</f>
        <v>0.17848426270981221</v>
      </c>
      <c r="Z308" s="6"/>
      <c r="AA308" s="61"/>
    </row>
    <row r="309" spans="1:27" ht="13.5">
      <c r="A309" t="s">
        <v>1271</v>
      </c>
      <c r="B309">
        <v>756905600</v>
      </c>
      <c r="C309">
        <v>760646619</v>
      </c>
      <c r="D309" s="13">
        <f t="shared" si="8"/>
        <v>8.5355778990092901</v>
      </c>
      <c r="E309" s="61" t="s">
        <v>1931</v>
      </c>
      <c r="F309" s="65">
        <v>1703900.1577131939</v>
      </c>
      <c r="G309" s="6">
        <v>1179</v>
      </c>
      <c r="H309" s="6">
        <v>1120</v>
      </c>
      <c r="I309" s="65">
        <v>5.4744333719546656</v>
      </c>
      <c r="J309" s="6">
        <f>VLOOKUP($D309,Sheet1!$A$5:$C$192,3,TRUE)</f>
        <v>2</v>
      </c>
      <c r="K309" s="42" t="str">
        <f>VLOOKUP($D309,Sheet1!$A$5:$C$192,2,TRUE)</f>
        <v>)|(</v>
      </c>
      <c r="L309" s="6">
        <f>FLOOR(VLOOKUP($D309,Sheet1!$D$5:$F$192,3,TRUE),1)</f>
        <v>3</v>
      </c>
      <c r="M309" s="42" t="str">
        <f>VLOOKUP($D309,Sheet1!$D$5:$F$192,2,TRUE)</f>
        <v>~|</v>
      </c>
      <c r="N309" s="23">
        <f>FLOOR(VLOOKUP($D309,Sheet1!$G$5:$I$192,3,TRUE),1)</f>
        <v>4</v>
      </c>
      <c r="O309" s="42" t="str">
        <f>VLOOKUP($D309,Sheet1!$G$5:$I$192,2,TRUE)</f>
        <v>~|</v>
      </c>
      <c r="P309" s="23">
        <v>1</v>
      </c>
      <c r="Q309" s="43" t="str">
        <f>VLOOKUP($D309,Sheet1!$J$5:$L$192,2,TRUE)</f>
        <v>~|.</v>
      </c>
      <c r="R309" s="23">
        <f>FLOOR(VLOOKUP($D309,Sheet1!$M$5:$O$192,3,TRUE),1)</f>
        <v>17</v>
      </c>
      <c r="S309" s="42" t="str">
        <f>VLOOKUP($D309,Sheet1!$M$5:$O$192,2,TRUE)</f>
        <v>~|.</v>
      </c>
      <c r="T309" s="117">
        <f>IF(ABS(D309-VLOOKUP($D309,Sheet1!$M$5:$T$192,8,TRUE))&lt;10^-10,"SoCA",D309-VLOOKUP($D309,Sheet1!$M$5:$T$192,8,TRUE))</f>
        <v>0.22869750765936736</v>
      </c>
      <c r="U309" s="109">
        <f>IF(VLOOKUP($D309,Sheet1!$M$5:$U$192,9,TRUE)=0,"",IF(ABS(D309-VLOOKUP($D309,Sheet1!$M$5:$U$192,9,TRUE))&lt;10^-10,"Alt.",D309-VLOOKUP($D309,Sheet1!$M$5:$U$192,9,TRUE)))</f>
        <v>0.20173721245693343</v>
      </c>
      <c r="V309" s="132">
        <f>$D309-Sheet1!$M$3*$R309</f>
        <v>0.2409637231247288</v>
      </c>
      <c r="Z309" s="6"/>
      <c r="AA309" s="61"/>
    </row>
    <row r="310" spans="1:27" ht="13.5">
      <c r="A310" t="s">
        <v>1079</v>
      </c>
      <c r="B310">
        <v>126456128</v>
      </c>
      <c r="C310">
        <v>127064133</v>
      </c>
      <c r="D310" s="13">
        <f t="shared" si="8"/>
        <v>8.3038805017149855</v>
      </c>
      <c r="E310" s="61" t="s">
        <v>1931</v>
      </c>
      <c r="F310" s="65">
        <v>2776402.6904198653</v>
      </c>
      <c r="G310" s="6">
        <v>994</v>
      </c>
      <c r="H310" s="6">
        <v>928</v>
      </c>
      <c r="I310" s="65">
        <v>3.4886998248256522</v>
      </c>
      <c r="J310" s="6">
        <f>VLOOKUP($D310,Sheet1!$A$5:$C$192,3,TRUE)</f>
        <v>2</v>
      </c>
      <c r="K310" s="42" t="str">
        <f>VLOOKUP($D310,Sheet1!$A$5:$C$192,2,TRUE)</f>
        <v>)|(</v>
      </c>
      <c r="L310" s="6">
        <f>FLOOR(VLOOKUP($D310,Sheet1!$D$5:$F$192,3,TRUE),1)</f>
        <v>3</v>
      </c>
      <c r="M310" s="42" t="str">
        <f>VLOOKUP($D310,Sheet1!$D$5:$F$192,2,TRUE)</f>
        <v>~|</v>
      </c>
      <c r="N310" s="23">
        <f>FLOOR(VLOOKUP($D310,Sheet1!$G$5:$I$192,3,TRUE),1)</f>
        <v>4</v>
      </c>
      <c r="O310" s="42" t="str">
        <f>VLOOKUP($D310,Sheet1!$G$5:$I$192,2,TRUE)</f>
        <v>~|</v>
      </c>
      <c r="P310" s="23">
        <v>1</v>
      </c>
      <c r="Q310" s="43" t="str">
        <f>VLOOKUP($D310,Sheet1!$J$5:$L$192,2,TRUE)</f>
        <v>~|.</v>
      </c>
      <c r="R310" s="23">
        <f>FLOOR(VLOOKUP($D310,Sheet1!$M$5:$O$192,3,TRUE),1)</f>
        <v>17</v>
      </c>
      <c r="S310" s="42" t="str">
        <f>VLOOKUP($D310,Sheet1!$M$5:$O$192,2,TRUE)</f>
        <v>~|.</v>
      </c>
      <c r="T310" s="117">
        <f>IF(ABS(D310-VLOOKUP($D310,Sheet1!$M$5:$T$192,8,TRUE))&lt;10^-10,"SoCA",D310-VLOOKUP($D310,Sheet1!$M$5:$T$192,8,TRUE))</f>
        <v>-2.9998896349372473E-3</v>
      </c>
      <c r="U310" s="109">
        <f>IF(VLOOKUP($D310,Sheet1!$M$5:$U$192,9,TRUE)=0,"",IF(ABS(D310-VLOOKUP($D310,Sheet1!$M$5:$U$192,9,TRUE))&lt;10^-10,"Alt.",D310-VLOOKUP($D310,Sheet1!$M$5:$U$192,9,TRUE)))</f>
        <v>-2.9960184837371173E-2</v>
      </c>
      <c r="V310" s="132">
        <f>$D310-Sheet1!$M$3*$R310</f>
        <v>9.2663258304241936E-3</v>
      </c>
      <c r="Z310" s="6"/>
      <c r="AA310" s="61"/>
    </row>
    <row r="311" spans="1:27" ht="13.5">
      <c r="A311" s="33" t="s">
        <v>39</v>
      </c>
      <c r="B311" s="33">
        <f>2^7*17</f>
        <v>2176</v>
      </c>
      <c r="C311" s="33">
        <f>3^7</f>
        <v>2187</v>
      </c>
      <c r="D311" s="51">
        <f t="shared" si="8"/>
        <v>8.7295965573047472</v>
      </c>
      <c r="E311" s="61">
        <v>17</v>
      </c>
      <c r="F311" s="65">
        <v>22.158232450890178</v>
      </c>
      <c r="G311" s="6">
        <v>26</v>
      </c>
      <c r="H311" s="6">
        <v>27</v>
      </c>
      <c r="I311" s="65">
        <v>6.4624869363149582</v>
      </c>
      <c r="J311" s="6">
        <f>VLOOKUP($D311,Sheet1!$A$5:$C$192,3,TRUE)</f>
        <v>2</v>
      </c>
      <c r="K311" s="42" t="str">
        <f>VLOOKUP($D311,Sheet1!$A$5:$C$192,2,TRUE)</f>
        <v>)|(</v>
      </c>
      <c r="L311" s="34">
        <f>FLOOR(VLOOKUP($D311,Sheet1!$D$5:$F$192,3,TRUE),1)</f>
        <v>3</v>
      </c>
      <c r="M311" s="41" t="str">
        <f>VLOOKUP($D311,Sheet1!$D$5:$F$192,2,TRUE)</f>
        <v>~|</v>
      </c>
      <c r="N311" s="34">
        <f>FLOOR(VLOOKUP($D311,Sheet1!$G$5:$I$192,3,TRUE),1)</f>
        <v>4</v>
      </c>
      <c r="O311" s="41" t="str">
        <f>VLOOKUP($D311,Sheet1!$G$5:$I$192,2,TRUE)</f>
        <v>~|</v>
      </c>
      <c r="P311" s="34">
        <v>1</v>
      </c>
      <c r="Q311" s="41" t="str">
        <f>VLOOKUP($D311,Sheet1!$J$5:$L$192,2,TRUE)</f>
        <v>~|</v>
      </c>
      <c r="R311" s="34">
        <f>FLOOR(VLOOKUP($D311,Sheet1!$M$5:$O$192,3,TRUE),1)</f>
        <v>18</v>
      </c>
      <c r="S311" s="41" t="str">
        <f>VLOOKUP($D311,Sheet1!$M$5:$O$192,2,TRUE)</f>
        <v>~|</v>
      </c>
      <c r="T311" s="114" t="str">
        <f>IF(ABS(D311-VLOOKUP($D311,Sheet1!$M$5:$T$192,8,TRUE))&lt;10^-10,"SoCA",D311-VLOOKUP($D311,Sheet1!$M$5:$T$192,8,TRUE))</f>
        <v>SoCA</v>
      </c>
      <c r="U311" s="126" t="str">
        <f>IF(VLOOKUP($D311,Sheet1!$M$5:$U$192,9,TRUE)=0,"",IF(ABS(D311-VLOOKUP($D311,Sheet1!$M$5:$U$192,9,TRUE))&lt;10^-10,"Alt.",D311-VLOOKUP($D311,Sheet1!$M$5:$U$192,9,TRUE)))</f>
        <v/>
      </c>
      <c r="V311" s="137">
        <f>$D311-Sheet1!$M$3*$R311</f>
        <v>-5.2936099514200308E-2</v>
      </c>
      <c r="Z311" s="6"/>
      <c r="AA311" s="61"/>
    </row>
    <row r="312" spans="1:27" ht="13.5">
      <c r="A312" s="40" t="s">
        <v>605</v>
      </c>
      <c r="B312" s="40">
        <f>3*5*13</f>
        <v>195</v>
      </c>
      <c r="C312" s="40">
        <f>2^2*7^2</f>
        <v>196</v>
      </c>
      <c r="D312" s="13">
        <f t="shared" si="8"/>
        <v>8.8554364387169997</v>
      </c>
      <c r="E312" s="61">
        <v>13</v>
      </c>
      <c r="F312" s="65">
        <v>32.047908279125586</v>
      </c>
      <c r="G312" s="6">
        <v>497</v>
      </c>
      <c r="H312" s="6">
        <v>450</v>
      </c>
      <c r="I312" s="65">
        <v>-1.5452614836432423</v>
      </c>
      <c r="J312" s="6">
        <f>VLOOKUP($D312,Sheet1!$A$5:$C$192,3,TRUE)</f>
        <v>2</v>
      </c>
      <c r="K312" s="42" t="str">
        <f>VLOOKUP($D312,Sheet1!$A$5:$C$192,2,TRUE)</f>
        <v>)|(</v>
      </c>
      <c r="L312" s="6">
        <f>FLOOR(VLOOKUP($D312,Sheet1!$D$5:$F$192,3,TRUE),1)</f>
        <v>3</v>
      </c>
      <c r="M312" s="42" t="str">
        <f>VLOOKUP($D312,Sheet1!$D$5:$F$192,2,TRUE)</f>
        <v>~|</v>
      </c>
      <c r="N312" s="23">
        <f>FLOOR(VLOOKUP($D312,Sheet1!$G$5:$I$192,3,TRUE),1)</f>
        <v>4</v>
      </c>
      <c r="O312" s="42" t="str">
        <f>VLOOKUP($D312,Sheet1!$G$5:$I$192,2,TRUE)</f>
        <v>~|</v>
      </c>
      <c r="P312" s="23">
        <v>1</v>
      </c>
      <c r="Q312" s="43" t="str">
        <f>VLOOKUP($D312,Sheet1!$J$5:$L$192,2,TRUE)</f>
        <v>~|</v>
      </c>
      <c r="R312" s="40">
        <f>FLOOR(VLOOKUP($D312,Sheet1!$M$5:$O$192,3,TRUE),1)</f>
        <v>18</v>
      </c>
      <c r="S312" s="46" t="str">
        <f>VLOOKUP($D312,Sheet1!$M$5:$O$192,2,TRUE)</f>
        <v>)|(..</v>
      </c>
      <c r="T312" s="116" t="str">
        <f>IF(ABS(D312-VLOOKUP($D312,Sheet1!$M$5:$T$192,8,TRUE))&lt;10^-10,"SoCA",D312-VLOOKUP($D312,Sheet1!$M$5:$T$192,8,TRUE))</f>
        <v>SoCA</v>
      </c>
      <c r="U312" s="115">
        <f>IF(VLOOKUP($D312,Sheet1!$M$5:$U$192,9,TRUE)=0,"",IF(ABS(D312-VLOOKUP($D312,Sheet1!$M$5:$U$192,9,TRUE))&lt;10^-10,"Alt.",D312-VLOOKUP($D312,Sheet1!$M$5:$U$192,9,TRUE)))</f>
        <v>-1.4052167394554615E-2</v>
      </c>
      <c r="V312" s="132">
        <f>$D312-Sheet1!$M$3*$R312</f>
        <v>7.2903781898052245E-2</v>
      </c>
      <c r="Z312" s="6"/>
      <c r="AA312" s="61"/>
    </row>
    <row r="313" spans="1:27" ht="13.5">
      <c r="A313" t="s">
        <v>1371</v>
      </c>
      <c r="B313">
        <v>164025</v>
      </c>
      <c r="C313">
        <v>164864</v>
      </c>
      <c r="D313" s="13">
        <f t="shared" si="8"/>
        <v>8.8328190847714811</v>
      </c>
      <c r="E313" s="61">
        <v>23</v>
      </c>
      <c r="F313" s="65">
        <v>46.496000213571989</v>
      </c>
      <c r="G313" s="6">
        <v>1140</v>
      </c>
      <c r="H313" s="6">
        <v>1220</v>
      </c>
      <c r="I313" s="65">
        <v>-8.5438688507613101</v>
      </c>
      <c r="J313" s="6">
        <f>VLOOKUP($D313,Sheet1!$A$5:$C$192,3,TRUE)</f>
        <v>2</v>
      </c>
      <c r="K313" s="42" t="str">
        <f>VLOOKUP($D313,Sheet1!$A$5:$C$192,2,TRUE)</f>
        <v>)|(</v>
      </c>
      <c r="L313" s="6">
        <f>FLOOR(VLOOKUP($D313,Sheet1!$D$5:$F$192,3,TRUE),1)</f>
        <v>3</v>
      </c>
      <c r="M313" s="42" t="str">
        <f>VLOOKUP($D313,Sheet1!$D$5:$F$192,2,TRUE)</f>
        <v>~|</v>
      </c>
      <c r="N313" s="23">
        <f>FLOOR(VLOOKUP($D313,Sheet1!$G$5:$I$192,3,TRUE),1)</f>
        <v>4</v>
      </c>
      <c r="O313" s="42" t="str">
        <f>VLOOKUP($D313,Sheet1!$G$5:$I$192,2,TRUE)</f>
        <v>~|</v>
      </c>
      <c r="P313" s="23">
        <v>1</v>
      </c>
      <c r="Q313" s="43" t="str">
        <f>VLOOKUP($D313,Sheet1!$J$5:$L$192,2,TRUE)</f>
        <v>~|</v>
      </c>
      <c r="R313" s="23">
        <f>FLOOR(VLOOKUP($D313,Sheet1!$M$5:$O$192,3,TRUE),1)</f>
        <v>18</v>
      </c>
      <c r="S313" s="42" t="str">
        <f>VLOOKUP($D313,Sheet1!$M$5:$O$192,2,TRUE)</f>
        <v>)|(..</v>
      </c>
      <c r="T313" s="117">
        <f>IF(ABS(D313-VLOOKUP($D313,Sheet1!$M$5:$T$192,8,TRUE))&lt;10^-10,"SoCA",D313-VLOOKUP($D313,Sheet1!$M$5:$T$192,8,TRUE))</f>
        <v>-2.2617353945616259E-2</v>
      </c>
      <c r="U313" s="109">
        <f>IF(VLOOKUP($D313,Sheet1!$M$5:$U$192,9,TRUE)=0,"",IF(ABS(D313-VLOOKUP($D313,Sheet1!$M$5:$U$192,9,TRUE))&lt;10^-10,"Alt.",D313-VLOOKUP($D313,Sheet1!$M$5:$U$192,9,TRUE)))</f>
        <v>-3.6669521340073175E-2</v>
      </c>
      <c r="V313" s="132">
        <f>$D313-Sheet1!$M$3*$R313</f>
        <v>5.0286427952533685E-2</v>
      </c>
      <c r="Z313" s="6"/>
      <c r="AA313" s="61"/>
    </row>
    <row r="314" spans="1:27" ht="13.5">
      <c r="A314" t="s">
        <v>712</v>
      </c>
      <c r="B314">
        <v>89667</v>
      </c>
      <c r="C314">
        <v>90112</v>
      </c>
      <c r="D314" s="13">
        <f t="shared" si="8"/>
        <v>8.5705307653441718</v>
      </c>
      <c r="E314" s="61">
        <v>41</v>
      </c>
      <c r="F314" s="65">
        <v>55.443501952707528</v>
      </c>
      <c r="G314" s="6">
        <v>553</v>
      </c>
      <c r="H314" s="6">
        <v>557</v>
      </c>
      <c r="I314" s="65">
        <v>-7.527718803365798</v>
      </c>
      <c r="J314" s="6">
        <f>VLOOKUP($D314,Sheet1!$A$5:$C$192,3,TRUE)</f>
        <v>2</v>
      </c>
      <c r="K314" s="42" t="str">
        <f>VLOOKUP($D314,Sheet1!$A$5:$C$192,2,TRUE)</f>
        <v>)|(</v>
      </c>
      <c r="L314" s="6">
        <f>FLOOR(VLOOKUP($D314,Sheet1!$D$5:$F$192,3,TRUE),1)</f>
        <v>3</v>
      </c>
      <c r="M314" s="42" t="str">
        <f>VLOOKUP($D314,Sheet1!$D$5:$F$192,2,TRUE)</f>
        <v>~|</v>
      </c>
      <c r="N314" s="23">
        <f>FLOOR(VLOOKUP($D314,Sheet1!$G$5:$I$192,3,TRUE),1)</f>
        <v>4</v>
      </c>
      <c r="O314" s="42" t="str">
        <f>VLOOKUP($D314,Sheet1!$G$5:$I$192,2,TRUE)</f>
        <v>~|</v>
      </c>
      <c r="P314" s="23">
        <v>1</v>
      </c>
      <c r="Q314" s="43" t="str">
        <f>VLOOKUP($D314,Sheet1!$J$5:$L$192,2,TRUE)</f>
        <v>~|</v>
      </c>
      <c r="R314" s="23">
        <f>FLOOR(VLOOKUP($D314,Sheet1!$M$5:$O$192,3,TRUE),1)</f>
        <v>18</v>
      </c>
      <c r="S314" s="42" t="str">
        <f>VLOOKUP($D314,Sheet1!$M$5:$O$192,2,TRUE)</f>
        <v>~|</v>
      </c>
      <c r="T314" s="117">
        <f>IF(ABS(D314-VLOOKUP($D314,Sheet1!$M$5:$T$192,8,TRUE))&lt;10^-10,"SoCA",D314-VLOOKUP($D314,Sheet1!$M$5:$T$192,8,TRUE))</f>
        <v>-0.15906579196057535</v>
      </c>
      <c r="U314" s="109" t="str">
        <f>IF(VLOOKUP($D314,Sheet1!$M$5:$U$192,9,TRUE)=0,"",IF(ABS(D314-VLOOKUP($D314,Sheet1!$M$5:$U$192,9,TRUE))&lt;10^-10,"Alt.",D314-VLOOKUP($D314,Sheet1!$M$5:$U$192,9,TRUE)))</f>
        <v/>
      </c>
      <c r="V314" s="132">
        <f>$D314-Sheet1!$M$3*$R314</f>
        <v>-0.21200189147477566</v>
      </c>
      <c r="Z314" s="6"/>
      <c r="AA314" s="61"/>
    </row>
    <row r="315" spans="1:27" ht="13.5">
      <c r="A315" t="s">
        <v>714</v>
      </c>
      <c r="B315">
        <v>1703936</v>
      </c>
      <c r="C315">
        <v>1712421</v>
      </c>
      <c r="D315" s="13">
        <f t="shared" si="8"/>
        <v>8.5995410376501908</v>
      </c>
      <c r="E315" s="61">
        <v>29</v>
      </c>
      <c r="F315" s="65">
        <v>60.118472278883019</v>
      </c>
      <c r="G315" s="6">
        <v>401</v>
      </c>
      <c r="H315" s="6">
        <v>559</v>
      </c>
      <c r="I315" s="65">
        <v>9.4704949284781446</v>
      </c>
      <c r="J315" s="6">
        <f>VLOOKUP($D315,Sheet1!$A$5:$C$192,3,TRUE)</f>
        <v>2</v>
      </c>
      <c r="K315" s="42" t="str">
        <f>VLOOKUP($D315,Sheet1!$A$5:$C$192,2,TRUE)</f>
        <v>)|(</v>
      </c>
      <c r="L315" s="6">
        <f>FLOOR(VLOOKUP($D315,Sheet1!$D$5:$F$192,3,TRUE),1)</f>
        <v>3</v>
      </c>
      <c r="M315" s="42" t="str">
        <f>VLOOKUP($D315,Sheet1!$D$5:$F$192,2,TRUE)</f>
        <v>~|</v>
      </c>
      <c r="N315" s="23">
        <f>FLOOR(VLOOKUP($D315,Sheet1!$G$5:$I$192,3,TRUE),1)</f>
        <v>4</v>
      </c>
      <c r="O315" s="42" t="str">
        <f>VLOOKUP($D315,Sheet1!$G$5:$I$192,2,TRUE)</f>
        <v>~|</v>
      </c>
      <c r="P315" s="23">
        <v>1</v>
      </c>
      <c r="Q315" s="43" t="str">
        <f>VLOOKUP($D315,Sheet1!$J$5:$L$192,2,TRUE)</f>
        <v>~|</v>
      </c>
      <c r="R315" s="23">
        <f>FLOOR(VLOOKUP($D315,Sheet1!$M$5:$O$192,3,TRUE),1)</f>
        <v>18</v>
      </c>
      <c r="S315" s="42" t="str">
        <f>VLOOKUP($D315,Sheet1!$M$5:$O$192,2,TRUE)</f>
        <v>~|</v>
      </c>
      <c r="T315" s="117">
        <f>IF(ABS(D315-VLOOKUP($D315,Sheet1!$M$5:$T$192,8,TRUE))&lt;10^-10,"SoCA",D315-VLOOKUP($D315,Sheet1!$M$5:$T$192,8,TRUE))</f>
        <v>-0.13005551965455631</v>
      </c>
      <c r="U315" s="109" t="str">
        <f>IF(VLOOKUP($D315,Sheet1!$M$5:$U$192,9,TRUE)=0,"",IF(ABS(D315-VLOOKUP($D315,Sheet1!$M$5:$U$192,9,TRUE))&lt;10^-10,"Alt.",D315-VLOOKUP($D315,Sheet1!$M$5:$U$192,9,TRUE)))</f>
        <v/>
      </c>
      <c r="V315" s="132">
        <f>$D315-Sheet1!$M$3*$R315</f>
        <v>-0.18299161916875661</v>
      </c>
      <c r="Z315" s="6"/>
      <c r="AA315" s="61"/>
    </row>
    <row r="316" spans="1:27" ht="13.5">
      <c r="A316" t="s">
        <v>1743</v>
      </c>
      <c r="B316">
        <v>20971520</v>
      </c>
      <c r="C316">
        <v>21080493</v>
      </c>
      <c r="D316" s="13">
        <f t="shared" si="8"/>
        <v>8.9726116239588443</v>
      </c>
      <c r="E316" s="61">
        <v>17</v>
      </c>
      <c r="F316" s="65">
        <v>67.470862003812272</v>
      </c>
      <c r="G316" s="6">
        <v>1210</v>
      </c>
      <c r="H316" s="6">
        <v>1592</v>
      </c>
      <c r="I316" s="65">
        <v>10.447523613308975</v>
      </c>
      <c r="J316" s="6">
        <f>VLOOKUP($D316,Sheet1!$A$5:$C$192,3,TRUE)</f>
        <v>2</v>
      </c>
      <c r="K316" s="42" t="str">
        <f>VLOOKUP($D316,Sheet1!$A$5:$C$192,2,TRUE)</f>
        <v>)|(</v>
      </c>
      <c r="L316" s="6">
        <f>FLOOR(VLOOKUP($D316,Sheet1!$D$5:$F$192,3,TRUE),1)</f>
        <v>3</v>
      </c>
      <c r="M316" s="42" t="str">
        <f>VLOOKUP($D316,Sheet1!$D$5:$F$192,2,TRUE)</f>
        <v>~|</v>
      </c>
      <c r="N316" s="23">
        <f>FLOOR(VLOOKUP($D316,Sheet1!$G$5:$I$192,3,TRUE),1)</f>
        <v>4</v>
      </c>
      <c r="O316" s="42" t="str">
        <f>VLOOKUP($D316,Sheet1!$G$5:$I$192,2,TRUE)</f>
        <v>~|</v>
      </c>
      <c r="P316" s="23">
        <v>1</v>
      </c>
      <c r="Q316" s="43" t="str">
        <f>VLOOKUP($D316,Sheet1!$J$5:$L$192,2,TRUE)</f>
        <v>~|</v>
      </c>
      <c r="R316" s="23">
        <f>FLOOR(VLOOKUP($D316,Sheet1!$M$5:$O$192,3,TRUE),1)</f>
        <v>18</v>
      </c>
      <c r="S316" s="42" t="str">
        <f>VLOOKUP($D316,Sheet1!$M$5:$O$192,2,TRUE)</f>
        <v>)|(..</v>
      </c>
      <c r="T316" s="117">
        <f>IF(ABS(D316-VLOOKUP($D316,Sheet1!$M$5:$T$192,8,TRUE))&lt;10^-10,"SoCA",D316-VLOOKUP($D316,Sheet1!$M$5:$T$192,8,TRUE))</f>
        <v>0.11717518524174686</v>
      </c>
      <c r="U316" s="109">
        <f>IF(VLOOKUP($D316,Sheet1!$M$5:$U$192,9,TRUE)=0,"",IF(ABS(D316-VLOOKUP($D316,Sheet1!$M$5:$U$192,9,TRUE))&lt;10^-10,"Alt.",D316-VLOOKUP($D316,Sheet1!$M$5:$U$192,9,TRUE)))</f>
        <v>0.10312301784728994</v>
      </c>
      <c r="V316" s="132">
        <f>$D316-Sheet1!$M$3*$R316</f>
        <v>0.1900789671398968</v>
      </c>
      <c r="Z316" s="6"/>
      <c r="AA316" s="61"/>
    </row>
    <row r="317" spans="1:27" ht="13.5">
      <c r="A317" s="6" t="s">
        <v>531</v>
      </c>
      <c r="B317" s="6">
        <f>3^9*53</f>
        <v>1043199</v>
      </c>
      <c r="C317" s="6">
        <f>2^20</f>
        <v>1048576</v>
      </c>
      <c r="D317" s="13">
        <f t="shared" si="8"/>
        <v>8.9004467356743913</v>
      </c>
      <c r="E317" s="61" t="s">
        <v>1931</v>
      </c>
      <c r="F317" s="65">
        <v>77.553222511825965</v>
      </c>
      <c r="G317" s="6">
        <v>263</v>
      </c>
      <c r="H317" s="6">
        <v>374</v>
      </c>
      <c r="I317" s="65">
        <v>-9.5480329316083488</v>
      </c>
      <c r="J317" s="6">
        <f>VLOOKUP($D317,Sheet1!$A$5:$C$192,3,TRUE)</f>
        <v>2</v>
      </c>
      <c r="K317" s="42" t="str">
        <f>VLOOKUP($D317,Sheet1!$A$5:$C$192,2,TRUE)</f>
        <v>)|(</v>
      </c>
      <c r="L317" s="6">
        <f>FLOOR(VLOOKUP($D317,Sheet1!$D$5:$F$192,3,TRUE),1)</f>
        <v>3</v>
      </c>
      <c r="M317" s="42" t="str">
        <f>VLOOKUP($D317,Sheet1!$D$5:$F$192,2,TRUE)</f>
        <v>~|</v>
      </c>
      <c r="N317" s="23">
        <f>FLOOR(VLOOKUP($D317,Sheet1!$G$5:$I$192,3,TRUE),1)</f>
        <v>4</v>
      </c>
      <c r="O317" s="42" t="str">
        <f>VLOOKUP($D317,Sheet1!$G$5:$I$192,2,TRUE)</f>
        <v>~|</v>
      </c>
      <c r="P317" s="23">
        <v>1</v>
      </c>
      <c r="Q317" s="43" t="str">
        <f>VLOOKUP($D317,Sheet1!$J$5:$L$192,2,TRUE)</f>
        <v>~|</v>
      </c>
      <c r="R317" s="23">
        <f>FLOOR(VLOOKUP($D317,Sheet1!$M$5:$O$192,3,TRUE),1)</f>
        <v>18</v>
      </c>
      <c r="S317" s="42" t="str">
        <f>VLOOKUP($D317,Sheet1!$M$5:$O$192,2,TRUE)</f>
        <v>)|(..</v>
      </c>
      <c r="T317" s="117">
        <f>IF(ABS(D317-VLOOKUP($D317,Sheet1!$M$5:$T$192,8,TRUE))&lt;10^-10,"SoCA",D317-VLOOKUP($D317,Sheet1!$M$5:$T$192,8,TRUE))</f>
        <v>4.501029695729386E-2</v>
      </c>
      <c r="U317" s="109">
        <f>IF(VLOOKUP($D317,Sheet1!$M$5:$U$192,9,TRUE)=0,"",IF(ABS(D317-VLOOKUP($D317,Sheet1!$M$5:$U$192,9,TRUE))&lt;10^-10,"Alt.",D317-VLOOKUP($D317,Sheet1!$M$5:$U$192,9,TRUE)))</f>
        <v>3.0958129562836945E-2</v>
      </c>
      <c r="V317" s="132">
        <f>$D317-Sheet1!$M$3*$R317</f>
        <v>0.1179140788554438</v>
      </c>
      <c r="Z317" s="6"/>
      <c r="AA317" s="61"/>
    </row>
    <row r="318" spans="1:27" ht="13.5">
      <c r="A318" t="s">
        <v>477</v>
      </c>
      <c r="B318">
        <v>200</v>
      </c>
      <c r="C318">
        <v>201</v>
      </c>
      <c r="D318" s="13">
        <f t="shared" si="8"/>
        <v>8.6346016850445206</v>
      </c>
      <c r="E318" s="61" t="s">
        <v>1931</v>
      </c>
      <c r="F318" s="65">
        <v>92.440835646594721</v>
      </c>
      <c r="G318" s="6">
        <v>352</v>
      </c>
      <c r="H318" s="6">
        <v>315</v>
      </c>
      <c r="I318" s="65">
        <v>0.46833611668518282</v>
      </c>
      <c r="J318" s="6">
        <f>VLOOKUP($D318,Sheet1!$A$5:$C$192,3,TRUE)</f>
        <v>2</v>
      </c>
      <c r="K318" s="42" t="str">
        <f>VLOOKUP($D318,Sheet1!$A$5:$C$192,2,TRUE)</f>
        <v>)|(</v>
      </c>
      <c r="L318" s="6">
        <f>FLOOR(VLOOKUP($D318,Sheet1!$D$5:$F$192,3,TRUE),1)</f>
        <v>3</v>
      </c>
      <c r="M318" s="42" t="str">
        <f>VLOOKUP($D318,Sheet1!$D$5:$F$192,2,TRUE)</f>
        <v>~|</v>
      </c>
      <c r="N318" s="23">
        <f>FLOOR(VLOOKUP($D318,Sheet1!$G$5:$I$192,3,TRUE),1)</f>
        <v>4</v>
      </c>
      <c r="O318" s="42" t="str">
        <f>VLOOKUP($D318,Sheet1!$G$5:$I$192,2,TRUE)</f>
        <v>~|</v>
      </c>
      <c r="P318" s="23">
        <v>1</v>
      </c>
      <c r="Q318" s="43" t="str">
        <f>VLOOKUP($D318,Sheet1!$J$5:$L$192,2,TRUE)</f>
        <v>~|</v>
      </c>
      <c r="R318" s="23">
        <f>FLOOR(VLOOKUP($D318,Sheet1!$M$5:$O$192,3,TRUE),1)</f>
        <v>18</v>
      </c>
      <c r="S318" s="42" t="str">
        <f>VLOOKUP($D318,Sheet1!$M$5:$O$192,2,TRUE)</f>
        <v>~|</v>
      </c>
      <c r="T318" s="117">
        <f>IF(ABS(D318-VLOOKUP($D318,Sheet1!$M$5:$T$192,8,TRUE))&lt;10^-10,"SoCA",D318-VLOOKUP($D318,Sheet1!$M$5:$T$192,8,TRUE))</f>
        <v>-9.4994872260226515E-2</v>
      </c>
      <c r="U318" s="109" t="str">
        <f>IF(VLOOKUP($D318,Sheet1!$M$5:$U$192,9,TRUE)=0,"",IF(ABS(D318-VLOOKUP($D318,Sheet1!$M$5:$U$192,9,TRUE))&lt;10^-10,"Alt.",D318-VLOOKUP($D318,Sheet1!$M$5:$U$192,9,TRUE)))</f>
        <v/>
      </c>
      <c r="V318" s="132">
        <f>$D318-Sheet1!$M$3*$R318</f>
        <v>-0.14793097177442682</v>
      </c>
      <c r="Z318" s="6"/>
      <c r="AA318" s="61"/>
    </row>
    <row r="319" spans="1:27" ht="13.5">
      <c r="A319" t="s">
        <v>769</v>
      </c>
      <c r="B319">
        <v>194</v>
      </c>
      <c r="C319">
        <v>195</v>
      </c>
      <c r="D319" s="13">
        <f t="shared" si="8"/>
        <v>8.9009658749795815</v>
      </c>
      <c r="E319" s="61" t="s">
        <v>1931</v>
      </c>
      <c r="F319" s="65">
        <v>138.04430024174556</v>
      </c>
      <c r="G319" s="6">
        <v>660</v>
      </c>
      <c r="H319" s="6">
        <v>615</v>
      </c>
      <c r="I319" s="65">
        <v>0.45193510309330343</v>
      </c>
      <c r="J319" s="6">
        <f>VLOOKUP($D319,Sheet1!$A$5:$C$192,3,TRUE)</f>
        <v>2</v>
      </c>
      <c r="K319" s="42" t="str">
        <f>VLOOKUP($D319,Sheet1!$A$5:$C$192,2,TRUE)</f>
        <v>)|(</v>
      </c>
      <c r="L319" s="6">
        <f>FLOOR(VLOOKUP($D319,Sheet1!$D$5:$F$192,3,TRUE),1)</f>
        <v>3</v>
      </c>
      <c r="M319" s="42" t="str">
        <f>VLOOKUP($D319,Sheet1!$D$5:$F$192,2,TRUE)</f>
        <v>~|</v>
      </c>
      <c r="N319" s="23">
        <f>FLOOR(VLOOKUP($D319,Sheet1!$G$5:$I$192,3,TRUE),1)</f>
        <v>4</v>
      </c>
      <c r="O319" s="42" t="str">
        <f>VLOOKUP($D319,Sheet1!$G$5:$I$192,2,TRUE)</f>
        <v>~|</v>
      </c>
      <c r="P319" s="23">
        <v>1</v>
      </c>
      <c r="Q319" s="43" t="str">
        <f>VLOOKUP($D319,Sheet1!$J$5:$L$192,2,TRUE)</f>
        <v>~|</v>
      </c>
      <c r="R319" s="23">
        <f>FLOOR(VLOOKUP($D319,Sheet1!$M$5:$O$192,3,TRUE),1)</f>
        <v>18</v>
      </c>
      <c r="S319" s="42" t="str">
        <f>VLOOKUP($D319,Sheet1!$M$5:$O$192,2,TRUE)</f>
        <v>)|(..</v>
      </c>
      <c r="T319" s="117">
        <f>IF(ABS(D319-VLOOKUP($D319,Sheet1!$M$5:$T$192,8,TRUE))&lt;10^-10,"SoCA",D319-VLOOKUP($D319,Sheet1!$M$5:$T$192,8,TRUE))</f>
        <v>4.5529436262484069E-2</v>
      </c>
      <c r="U319" s="109">
        <f>IF(VLOOKUP($D319,Sheet1!$M$5:$U$192,9,TRUE)=0,"",IF(ABS(D319-VLOOKUP($D319,Sheet1!$M$5:$U$192,9,TRUE))&lt;10^-10,"Alt.",D319-VLOOKUP($D319,Sheet1!$M$5:$U$192,9,TRUE)))</f>
        <v>3.1477268868027153E-2</v>
      </c>
      <c r="V319" s="132">
        <f>$D319-Sheet1!$M$3*$R319</f>
        <v>0.11843321816063401</v>
      </c>
      <c r="Z319" s="6"/>
      <c r="AA319" s="61"/>
    </row>
    <row r="320" spans="1:27" ht="13.5">
      <c r="A320" t="s">
        <v>1071</v>
      </c>
      <c r="B320">
        <v>28928</v>
      </c>
      <c r="C320">
        <v>29079</v>
      </c>
      <c r="D320" s="13">
        <f t="shared" si="8"/>
        <v>9.0132891509861679</v>
      </c>
      <c r="E320" s="61" t="s">
        <v>1931</v>
      </c>
      <c r="F320" s="65">
        <v>472.4576276495726</v>
      </c>
      <c r="G320" s="6">
        <v>987</v>
      </c>
      <c r="H320" s="6">
        <v>920</v>
      </c>
      <c r="I320" s="65">
        <v>3.4450189497736039</v>
      </c>
      <c r="J320" s="6">
        <f>VLOOKUP($D320,Sheet1!$A$5:$C$192,3,TRUE)</f>
        <v>2</v>
      </c>
      <c r="K320" s="42" t="str">
        <f>VLOOKUP($D320,Sheet1!$A$5:$C$192,2,TRUE)</f>
        <v>)|(</v>
      </c>
      <c r="L320" s="6">
        <f>FLOOR(VLOOKUP($D320,Sheet1!$D$5:$F$192,3,TRUE),1)</f>
        <v>3</v>
      </c>
      <c r="M320" s="42" t="str">
        <f>VLOOKUP($D320,Sheet1!$D$5:$F$192,2,TRUE)</f>
        <v>~|</v>
      </c>
      <c r="N320" s="23">
        <f>FLOOR(VLOOKUP($D320,Sheet1!$G$5:$I$192,3,TRUE),1)</f>
        <v>4</v>
      </c>
      <c r="O320" s="42" t="str">
        <f>VLOOKUP($D320,Sheet1!$G$5:$I$192,2,TRUE)</f>
        <v>~|</v>
      </c>
      <c r="P320" s="23">
        <v>1</v>
      </c>
      <c r="Q320" s="43" t="str">
        <f>VLOOKUP($D320,Sheet1!$J$5:$L$192,2,TRUE)</f>
        <v>~|</v>
      </c>
      <c r="R320" s="23">
        <f>FLOOR(VLOOKUP($D320,Sheet1!$M$5:$O$192,3,TRUE),1)</f>
        <v>18</v>
      </c>
      <c r="S320" s="42" t="str">
        <f>VLOOKUP($D320,Sheet1!$M$5:$O$192,2,TRUE)</f>
        <v>)|(..</v>
      </c>
      <c r="T320" s="117">
        <f>IF(ABS(D320-VLOOKUP($D320,Sheet1!$M$5:$T$192,8,TRUE))&lt;10^-10,"SoCA",D320-VLOOKUP($D320,Sheet1!$M$5:$T$192,8,TRUE))</f>
        <v>0.15785271226907049</v>
      </c>
      <c r="U320" s="109">
        <f>IF(VLOOKUP($D320,Sheet1!$M$5:$U$192,9,TRUE)=0,"",IF(ABS(D320-VLOOKUP($D320,Sheet1!$M$5:$U$192,9,TRUE))&lt;10^-10,"Alt.",D320-VLOOKUP($D320,Sheet1!$M$5:$U$192,9,TRUE)))</f>
        <v>0.14380054487461358</v>
      </c>
      <c r="V320" s="132">
        <f>$D320-Sheet1!$M$3*$R320</f>
        <v>0.23075649416722044</v>
      </c>
      <c r="Z320" s="6"/>
      <c r="AA320" s="61"/>
    </row>
    <row r="321" spans="1:27" ht="13.5">
      <c r="A321" t="s">
        <v>1270</v>
      </c>
      <c r="B321">
        <v>290816</v>
      </c>
      <c r="C321">
        <v>292329</v>
      </c>
      <c r="D321" s="13">
        <f t="shared" si="8"/>
        <v>8.9835735326104231</v>
      </c>
      <c r="E321" s="61" t="s">
        <v>1931</v>
      </c>
      <c r="F321" s="65">
        <v>473.83145141582014</v>
      </c>
      <c r="G321" s="6">
        <v>1178</v>
      </c>
      <c r="H321" s="6">
        <v>1119</v>
      </c>
      <c r="I321" s="65">
        <v>5.4468486486568901</v>
      </c>
      <c r="J321" s="6">
        <f>VLOOKUP($D321,Sheet1!$A$5:$C$192,3,TRUE)</f>
        <v>2</v>
      </c>
      <c r="K321" s="42" t="str">
        <f>VLOOKUP($D321,Sheet1!$A$5:$C$192,2,TRUE)</f>
        <v>)|(</v>
      </c>
      <c r="L321" s="6">
        <f>FLOOR(VLOOKUP($D321,Sheet1!$D$5:$F$192,3,TRUE),1)</f>
        <v>3</v>
      </c>
      <c r="M321" s="42" t="str">
        <f>VLOOKUP($D321,Sheet1!$D$5:$F$192,2,TRUE)</f>
        <v>~|</v>
      </c>
      <c r="N321" s="23">
        <f>FLOOR(VLOOKUP($D321,Sheet1!$G$5:$I$192,3,TRUE),1)</f>
        <v>4</v>
      </c>
      <c r="O321" s="42" t="str">
        <f>VLOOKUP($D321,Sheet1!$G$5:$I$192,2,TRUE)</f>
        <v>~|</v>
      </c>
      <c r="P321" s="23">
        <v>1</v>
      </c>
      <c r="Q321" s="43" t="str">
        <f>VLOOKUP($D321,Sheet1!$J$5:$L$192,2,TRUE)</f>
        <v>~|</v>
      </c>
      <c r="R321" s="23">
        <f>FLOOR(VLOOKUP($D321,Sheet1!$M$5:$O$192,3,TRUE),1)</f>
        <v>18</v>
      </c>
      <c r="S321" s="42" t="str">
        <f>VLOOKUP($D321,Sheet1!$M$5:$O$192,2,TRUE)</f>
        <v>)|(..</v>
      </c>
      <c r="T321" s="117">
        <f>IF(ABS(D321-VLOOKUP($D321,Sheet1!$M$5:$T$192,8,TRUE))&lt;10^-10,"SoCA",D321-VLOOKUP($D321,Sheet1!$M$5:$T$192,8,TRUE))</f>
        <v>0.12813709389332573</v>
      </c>
      <c r="U321" s="109">
        <f>IF(VLOOKUP($D321,Sheet1!$M$5:$U$192,9,TRUE)=0,"",IF(ABS(D321-VLOOKUP($D321,Sheet1!$M$5:$U$192,9,TRUE))&lt;10^-10,"Alt.",D321-VLOOKUP($D321,Sheet1!$M$5:$U$192,9,TRUE)))</f>
        <v>0.11408492649886881</v>
      </c>
      <c r="V321" s="132">
        <f>$D321-Sheet1!$M$3*$R321</f>
        <v>0.20104087579147567</v>
      </c>
      <c r="Z321" s="6"/>
      <c r="AA321" s="61"/>
    </row>
    <row r="322" spans="1:27" ht="13.5">
      <c r="A322" t="s">
        <v>977</v>
      </c>
      <c r="B322">
        <v>133556608</v>
      </c>
      <c r="C322">
        <v>134236143</v>
      </c>
      <c r="D322" s="13">
        <f t="shared" si="8"/>
        <v>8.786172517465479</v>
      </c>
      <c r="E322" s="61" t="s">
        <v>1931</v>
      </c>
      <c r="F322" s="65">
        <v>6015120.5820003804</v>
      </c>
      <c r="G322" s="6">
        <v>888</v>
      </c>
      <c r="H322" s="6">
        <v>825</v>
      </c>
      <c r="I322" s="65">
        <v>2.4590033483304174</v>
      </c>
      <c r="J322" s="6">
        <f>VLOOKUP($D322,Sheet1!$A$5:$C$192,3,TRUE)</f>
        <v>2</v>
      </c>
      <c r="K322" s="42" t="str">
        <f>VLOOKUP($D322,Sheet1!$A$5:$C$192,2,TRUE)</f>
        <v>)|(</v>
      </c>
      <c r="L322" s="6">
        <f>FLOOR(VLOOKUP($D322,Sheet1!$D$5:$F$192,3,TRUE),1)</f>
        <v>3</v>
      </c>
      <c r="M322" s="42" t="str">
        <f>VLOOKUP($D322,Sheet1!$D$5:$F$192,2,TRUE)</f>
        <v>~|</v>
      </c>
      <c r="N322" s="23">
        <f>FLOOR(VLOOKUP($D322,Sheet1!$G$5:$I$192,3,TRUE),1)</f>
        <v>4</v>
      </c>
      <c r="O322" s="42" t="str">
        <f>VLOOKUP($D322,Sheet1!$G$5:$I$192,2,TRUE)</f>
        <v>~|</v>
      </c>
      <c r="P322" s="23">
        <v>1</v>
      </c>
      <c r="Q322" s="43" t="str">
        <f>VLOOKUP($D322,Sheet1!$J$5:$L$192,2,TRUE)</f>
        <v>~|</v>
      </c>
      <c r="R322" s="23">
        <f>FLOOR(VLOOKUP($D322,Sheet1!$M$5:$O$192,3,TRUE),1)</f>
        <v>18</v>
      </c>
      <c r="S322" s="42" t="str">
        <f>VLOOKUP($D322,Sheet1!$M$5:$O$192,2,TRUE)</f>
        <v>~|</v>
      </c>
      <c r="T322" s="117">
        <f>IF(ABS(D322-VLOOKUP($D322,Sheet1!$M$5:$T$192,8,TRUE))&lt;10^-10,"SoCA",D322-VLOOKUP($D322,Sheet1!$M$5:$T$192,8,TRUE))</f>
        <v>5.6575960160731853E-2</v>
      </c>
      <c r="U322" s="109" t="str">
        <f>IF(VLOOKUP($D322,Sheet1!$M$5:$U$192,9,TRUE)=0,"",IF(ABS(D322-VLOOKUP($D322,Sheet1!$M$5:$U$192,9,TRUE))&lt;10^-10,"Alt.",D322-VLOOKUP($D322,Sheet1!$M$5:$U$192,9,TRUE)))</f>
        <v/>
      </c>
      <c r="V322" s="132">
        <f>$D322-Sheet1!$M$3*$R322</f>
        <v>3.6398606465315453E-3</v>
      </c>
      <c r="Z322" s="6"/>
      <c r="AA322" s="61"/>
    </row>
    <row r="323" spans="1:27" ht="13.5">
      <c r="A323" s="23" t="s">
        <v>41</v>
      </c>
      <c r="B323" s="21">
        <f>5*2^8</f>
        <v>1280</v>
      </c>
      <c r="C323" s="21">
        <f>3^2*11*13</f>
        <v>1287</v>
      </c>
      <c r="D323" s="13">
        <f t="shared" si="8"/>
        <v>9.4418920000071651</v>
      </c>
      <c r="E323" s="61">
        <v>13</v>
      </c>
      <c r="F323" s="65">
        <v>34.863297294880958</v>
      </c>
      <c r="G323" s="6">
        <v>147</v>
      </c>
      <c r="H323" s="6">
        <v>130</v>
      </c>
      <c r="I323" s="65">
        <v>1.4186283108741879</v>
      </c>
      <c r="J323" s="6">
        <f>VLOOKUP($D323,Sheet1!$A$5:$C$192,3,TRUE)</f>
        <v>2</v>
      </c>
      <c r="K323" s="42" t="str">
        <f>VLOOKUP($D323,Sheet1!$A$5:$C$192,2,TRUE)</f>
        <v>)|(</v>
      </c>
      <c r="L323" s="6">
        <f>FLOOR(VLOOKUP($D323,Sheet1!$D$5:$F$192,3,TRUE),1)</f>
        <v>4</v>
      </c>
      <c r="M323" s="42" t="str">
        <f>VLOOKUP($D323,Sheet1!$D$5:$F$192,2,TRUE)</f>
        <v>)|(</v>
      </c>
      <c r="N323" s="23">
        <f>FLOOR(VLOOKUP($D323,Sheet1!$G$5:$I$192,3,TRUE),1)</f>
        <v>5</v>
      </c>
      <c r="O323" s="42" t="str">
        <f>VLOOKUP($D323,Sheet1!$G$5:$I$192,2,TRUE)</f>
        <v>)|(</v>
      </c>
      <c r="P323" s="23">
        <v>1</v>
      </c>
      <c r="Q323" s="43" t="str">
        <f>VLOOKUP($D323,Sheet1!$J$5:$L$192,2,TRUE)</f>
        <v>)|(.</v>
      </c>
      <c r="R323" s="23">
        <f>FLOOR(VLOOKUP($D323,Sheet1!$M$5:$O$192,3,TRUE),1)</f>
        <v>19</v>
      </c>
      <c r="S323" s="43" t="str">
        <f>VLOOKUP($D323,Sheet1!$M$5:$O$192,2,TRUE)</f>
        <v>)|(.</v>
      </c>
      <c r="T323" s="117">
        <f>IF(ABS(D323-VLOOKUP($D323,Sheet1!$M$5:$T$192,8,TRUE))&lt;10^-10,"SoCA",D323-VLOOKUP($D323,Sheet1!$M$5:$T$192,8,TRUE))</f>
        <v>0.17664752314329313</v>
      </c>
      <c r="U323" s="117">
        <f>IF(VLOOKUP($D323,Sheet1!$M$5:$U$192,9,TRUE)=0,"",IF(ABS(D323-VLOOKUP($D323,Sheet1!$M$5:$U$192,9,TRUE))&lt;10^-10,"Alt.",D323-VLOOKUP($D323,Sheet1!$M$5:$U$192,9,TRUE)))</f>
        <v>0.1496872279408592</v>
      </c>
      <c r="V323" s="134">
        <f>$D323-Sheet1!$M$3*$R323</f>
        <v>0.17144086225383148</v>
      </c>
      <c r="Z323" s="6"/>
      <c r="AA323" s="61"/>
    </row>
    <row r="324" spans="1:27" ht="13.5">
      <c r="A324" s="23" t="s">
        <v>1090</v>
      </c>
      <c r="B324" s="23">
        <f>3^3*7</f>
        <v>189</v>
      </c>
      <c r="C324" s="23">
        <f>2*5*19</f>
        <v>190</v>
      </c>
      <c r="D324" s="13">
        <f t="shared" ref="D324:D387" si="9">1200*LN($C324/$B324)/LN(2)</f>
        <v>9.1358209318503221</v>
      </c>
      <c r="E324" s="61">
        <v>19</v>
      </c>
      <c r="F324" s="65">
        <v>37.39136814458341</v>
      </c>
      <c r="G324" s="6">
        <v>1004</v>
      </c>
      <c r="H324" s="6">
        <v>939</v>
      </c>
      <c r="I324" s="65">
        <v>-3.5625257783817843</v>
      </c>
      <c r="J324" s="6">
        <f>VLOOKUP($D324,Sheet1!$A$5:$C$192,3,TRUE)</f>
        <v>2</v>
      </c>
      <c r="K324" s="42" t="str">
        <f>VLOOKUP($D324,Sheet1!$A$5:$C$192,2,TRUE)</f>
        <v>)|(</v>
      </c>
      <c r="L324" s="6">
        <f>FLOOR(VLOOKUP($D324,Sheet1!$D$5:$F$192,3,TRUE),1)</f>
        <v>4</v>
      </c>
      <c r="M324" s="42" t="str">
        <f>VLOOKUP($D324,Sheet1!$D$5:$F$192,2,TRUE)</f>
        <v>)|(</v>
      </c>
      <c r="N324" s="23">
        <f>FLOOR(VLOOKUP($D324,Sheet1!$G$5:$I$192,3,TRUE),1)</f>
        <v>5</v>
      </c>
      <c r="O324" s="42" t="str">
        <f>VLOOKUP($D324,Sheet1!$G$5:$I$192,2,TRUE)</f>
        <v>)|(</v>
      </c>
      <c r="P324" s="23">
        <v>1</v>
      </c>
      <c r="Q324" s="43" t="str">
        <f>VLOOKUP($D324,Sheet1!$J$5:$L$192,2,TRUE)</f>
        <v>)|(.</v>
      </c>
      <c r="R324" s="23">
        <f>FLOOR(VLOOKUP($D324,Sheet1!$M$5:$O$192,3,TRUE),1)</f>
        <v>19</v>
      </c>
      <c r="S324" s="43" t="str">
        <f>VLOOKUP($D324,Sheet1!$M$5:$O$192,2,TRUE)</f>
        <v>)|(.</v>
      </c>
      <c r="T324" s="117">
        <f>IF(ABS(D324-VLOOKUP($D324,Sheet1!$M$5:$T$192,8,TRUE))&lt;10^-10,"SoCA",D324-VLOOKUP($D324,Sheet1!$M$5:$T$192,8,TRUE))</f>
        <v>-0.12942354501354991</v>
      </c>
      <c r="U324" s="117">
        <f>IF(VLOOKUP($D324,Sheet1!$M$5:$U$192,9,TRUE)=0,"",IF(ABS(D324-VLOOKUP($D324,Sheet1!$M$5:$U$192,9,TRUE))&lt;10^-10,"Alt.",D324-VLOOKUP($D324,Sheet1!$M$5:$U$192,9,TRUE)))</f>
        <v>-0.15638384021598384</v>
      </c>
      <c r="V324" s="134">
        <f>$D324-Sheet1!$M$3*$R324</f>
        <v>-0.13463020590301156</v>
      </c>
      <c r="Z324" s="6"/>
      <c r="AA324" s="61"/>
    </row>
    <row r="325" spans="1:27" ht="13.5">
      <c r="A325" t="s">
        <v>1374</v>
      </c>
      <c r="B325">
        <v>69255</v>
      </c>
      <c r="C325">
        <v>69632</v>
      </c>
      <c r="D325" s="13">
        <f t="shared" si="9"/>
        <v>9.3986743109453119</v>
      </c>
      <c r="E325" s="61">
        <v>19</v>
      </c>
      <c r="F325" s="65">
        <v>50.857918725796281</v>
      </c>
      <c r="G325" s="6">
        <v>1285</v>
      </c>
      <c r="H325" s="6">
        <v>1223</v>
      </c>
      <c r="I325" s="65">
        <v>-6.5787106185596604</v>
      </c>
      <c r="J325" s="6">
        <f>VLOOKUP($D325,Sheet1!$A$5:$C$192,3,TRUE)</f>
        <v>2</v>
      </c>
      <c r="K325" s="42" t="str">
        <f>VLOOKUP($D325,Sheet1!$A$5:$C$192,2,TRUE)</f>
        <v>)|(</v>
      </c>
      <c r="L325" s="6">
        <f>FLOOR(VLOOKUP($D325,Sheet1!$D$5:$F$192,3,TRUE),1)</f>
        <v>4</v>
      </c>
      <c r="M325" s="42" t="str">
        <f>VLOOKUP($D325,Sheet1!$D$5:$F$192,2,TRUE)</f>
        <v>)|(</v>
      </c>
      <c r="N325" s="23">
        <f>FLOOR(VLOOKUP($D325,Sheet1!$G$5:$I$192,3,TRUE),1)</f>
        <v>5</v>
      </c>
      <c r="O325" s="42" t="str">
        <f>VLOOKUP($D325,Sheet1!$G$5:$I$192,2,TRUE)</f>
        <v>)|(</v>
      </c>
      <c r="P325" s="23">
        <v>1</v>
      </c>
      <c r="Q325" s="43" t="str">
        <f>VLOOKUP($D325,Sheet1!$J$5:$L$192,2,TRUE)</f>
        <v>)|(.</v>
      </c>
      <c r="R325" s="23">
        <f>FLOOR(VLOOKUP($D325,Sheet1!$M$5:$O$192,3,TRUE),1)</f>
        <v>19</v>
      </c>
      <c r="S325" s="43" t="str">
        <f>VLOOKUP($D325,Sheet1!$M$5:$O$192,2,TRUE)</f>
        <v>)|(.</v>
      </c>
      <c r="T325" s="117">
        <f>IF(ABS(D325-VLOOKUP($D325,Sheet1!$M$5:$T$192,8,TRUE))&lt;10^-10,"SoCA",D325-VLOOKUP($D325,Sheet1!$M$5:$T$192,8,TRUE))</f>
        <v>0.13342983408143994</v>
      </c>
      <c r="U325" s="117">
        <f>IF(VLOOKUP($D325,Sheet1!$M$5:$U$192,9,TRUE)=0,"",IF(ABS(D325-VLOOKUP($D325,Sheet1!$M$5:$U$192,9,TRUE))&lt;10^-10,"Alt.",D325-VLOOKUP($D325,Sheet1!$M$5:$U$192,9,TRUE)))</f>
        <v>0.10646953887900601</v>
      </c>
      <c r="V325" s="134">
        <f>$D325-Sheet1!$M$3*$R325</f>
        <v>0.12822317319197829</v>
      </c>
      <c r="Z325" s="6"/>
      <c r="AA325" s="61"/>
    </row>
    <row r="326" spans="1:27" ht="13.5">
      <c r="A326" s="6" t="s">
        <v>520</v>
      </c>
      <c r="B326" s="6">
        <f>2^2*47</f>
        <v>188</v>
      </c>
      <c r="C326" s="6">
        <f>3^3*7</f>
        <v>189</v>
      </c>
      <c r="D326" s="13">
        <f t="shared" si="9"/>
        <v>9.1842870521222046</v>
      </c>
      <c r="E326" s="61">
        <v>47</v>
      </c>
      <c r="F326" s="65">
        <v>54.149052546324228</v>
      </c>
      <c r="G326" s="6">
        <v>395</v>
      </c>
      <c r="H326" s="6">
        <v>361</v>
      </c>
      <c r="I326" s="65">
        <v>2.4344899860213864</v>
      </c>
      <c r="J326" s="6">
        <f>VLOOKUP($D326,Sheet1!$A$5:$C$192,3,TRUE)</f>
        <v>2</v>
      </c>
      <c r="K326" s="42" t="str">
        <f>VLOOKUP($D326,Sheet1!$A$5:$C$192,2,TRUE)</f>
        <v>)|(</v>
      </c>
      <c r="L326" s="6">
        <f>FLOOR(VLOOKUP($D326,Sheet1!$D$5:$F$192,3,TRUE),1)</f>
        <v>4</v>
      </c>
      <c r="M326" s="42" t="str">
        <f>VLOOKUP($D326,Sheet1!$D$5:$F$192,2,TRUE)</f>
        <v>)|(</v>
      </c>
      <c r="N326" s="23">
        <f>FLOOR(VLOOKUP($D326,Sheet1!$G$5:$I$192,3,TRUE),1)</f>
        <v>5</v>
      </c>
      <c r="O326" s="42" t="str">
        <f>VLOOKUP($D326,Sheet1!$G$5:$I$192,2,TRUE)</f>
        <v>)|(</v>
      </c>
      <c r="P326" s="23">
        <v>1</v>
      </c>
      <c r="Q326" s="43" t="str">
        <f>VLOOKUP($D326,Sheet1!$J$5:$L$192,2,TRUE)</f>
        <v>)|(.</v>
      </c>
      <c r="R326" s="23">
        <f>FLOOR(VLOOKUP($D326,Sheet1!$M$5:$O$192,3,TRUE),1)</f>
        <v>19</v>
      </c>
      <c r="S326" s="42" t="str">
        <f>VLOOKUP($D326,Sheet1!$M$5:$O$192,2,TRUE)</f>
        <v>)|(.</v>
      </c>
      <c r="T326" s="117">
        <f>IF(ABS(D326-VLOOKUP($D326,Sheet1!$M$5:$T$192,8,TRUE))&lt;10^-10,"SoCA",D326-VLOOKUP($D326,Sheet1!$M$5:$T$192,8,TRUE))</f>
        <v>-8.0957424741667339E-2</v>
      </c>
      <c r="U326" s="109">
        <f>IF(VLOOKUP($D326,Sheet1!$M$5:$U$192,9,TRUE)=0,"",IF(ABS(D326-VLOOKUP($D326,Sheet1!$M$5:$U$192,9,TRUE))&lt;10^-10,"Alt.",D326-VLOOKUP($D326,Sheet1!$M$5:$U$192,9,TRUE)))</f>
        <v>-0.10791771994410126</v>
      </c>
      <c r="V326" s="132">
        <f>$D326-Sheet1!$M$3*$R326</f>
        <v>-8.6164085631128984E-2</v>
      </c>
      <c r="Z326" s="6"/>
      <c r="AA326" s="61"/>
    </row>
    <row r="327" spans="1:27" ht="13.5">
      <c r="A327" t="s">
        <v>1375</v>
      </c>
      <c r="B327">
        <v>505197</v>
      </c>
      <c r="C327">
        <v>507904</v>
      </c>
      <c r="D327" s="13">
        <f t="shared" si="9"/>
        <v>9.2517167072691286</v>
      </c>
      <c r="E327" s="61">
        <v>31</v>
      </c>
      <c r="F327" s="65">
        <v>65.706556408379996</v>
      </c>
      <c r="G327" s="6">
        <v>1144</v>
      </c>
      <c r="H327" s="6">
        <v>1224</v>
      </c>
      <c r="I327" s="65">
        <v>-8.5696619035056187</v>
      </c>
      <c r="J327" s="6">
        <f>VLOOKUP($D327,Sheet1!$A$5:$C$192,3,TRUE)</f>
        <v>2</v>
      </c>
      <c r="K327" s="42" t="str">
        <f>VLOOKUP($D327,Sheet1!$A$5:$C$192,2,TRUE)</f>
        <v>)|(</v>
      </c>
      <c r="L327" s="6">
        <f>FLOOR(VLOOKUP($D327,Sheet1!$D$5:$F$192,3,TRUE),1)</f>
        <v>4</v>
      </c>
      <c r="M327" s="42" t="str">
        <f>VLOOKUP($D327,Sheet1!$D$5:$F$192,2,TRUE)</f>
        <v>)|(</v>
      </c>
      <c r="N327" s="23">
        <f>FLOOR(VLOOKUP($D327,Sheet1!$G$5:$I$192,3,TRUE),1)</f>
        <v>5</v>
      </c>
      <c r="O327" s="42" t="str">
        <f>VLOOKUP($D327,Sheet1!$G$5:$I$192,2,TRUE)</f>
        <v>)|(</v>
      </c>
      <c r="P327" s="23">
        <v>1</v>
      </c>
      <c r="Q327" s="43" t="str">
        <f>VLOOKUP($D327,Sheet1!$J$5:$L$192,2,TRUE)</f>
        <v>)|(.</v>
      </c>
      <c r="R327" s="23">
        <f>FLOOR(VLOOKUP($D327,Sheet1!$M$5:$O$192,3,TRUE),1)</f>
        <v>19</v>
      </c>
      <c r="S327" s="42" t="str">
        <f>VLOOKUP($D327,Sheet1!$M$5:$O$192,2,TRUE)</f>
        <v>)|(.</v>
      </c>
      <c r="T327" s="117">
        <f>IF(ABS(D327-VLOOKUP($D327,Sheet1!$M$5:$T$192,8,TRUE))&lt;10^-10,"SoCA",D327-VLOOKUP($D327,Sheet1!$M$5:$T$192,8,TRUE))</f>
        <v>-1.3527769594743333E-2</v>
      </c>
      <c r="U327" s="109">
        <f>IF(VLOOKUP($D327,Sheet1!$M$5:$U$192,9,TRUE)=0,"",IF(ABS(D327-VLOOKUP($D327,Sheet1!$M$5:$U$192,9,TRUE))&lt;10^-10,"Alt.",D327-VLOOKUP($D327,Sheet1!$M$5:$U$192,9,TRUE)))</f>
        <v>-4.0488064797177259E-2</v>
      </c>
      <c r="V327" s="132">
        <f>$D327-Sheet1!$M$3*$R327</f>
        <v>-1.8734430484204978E-2</v>
      </c>
      <c r="Z327" s="6"/>
      <c r="AA327" s="61"/>
    </row>
    <row r="328" spans="1:27" ht="13.5">
      <c r="A328" s="38" t="s">
        <v>601</v>
      </c>
      <c r="B328" s="38">
        <f>2^17</f>
        <v>131072</v>
      </c>
      <c r="C328" s="38">
        <f>3^2*11^4</f>
        <v>131769</v>
      </c>
      <c r="D328" s="13">
        <f t="shared" si="9"/>
        <v>9.1817711898016654</v>
      </c>
      <c r="E328" s="61">
        <v>11</v>
      </c>
      <c r="F328" s="65">
        <v>79.270887403547107</v>
      </c>
      <c r="G328" s="6">
        <v>492</v>
      </c>
      <c r="H328" s="6">
        <v>446</v>
      </c>
      <c r="I328" s="65">
        <v>1.4346448968302474</v>
      </c>
      <c r="J328" s="6">
        <f>VLOOKUP($D328,Sheet1!$A$5:$C$192,3,TRUE)</f>
        <v>2</v>
      </c>
      <c r="K328" s="42" t="str">
        <f>VLOOKUP($D328,Sheet1!$A$5:$C$192,2,TRUE)</f>
        <v>)|(</v>
      </c>
      <c r="L328" s="6">
        <f>FLOOR(VLOOKUP($D328,Sheet1!$D$5:$F$192,3,TRUE),1)</f>
        <v>4</v>
      </c>
      <c r="M328" s="42" t="str">
        <f>VLOOKUP($D328,Sheet1!$D$5:$F$192,2,TRUE)</f>
        <v>)|(</v>
      </c>
      <c r="N328" s="23">
        <f>FLOOR(VLOOKUP($D328,Sheet1!$G$5:$I$192,3,TRUE),1)</f>
        <v>5</v>
      </c>
      <c r="O328" s="42" t="str">
        <f>VLOOKUP($D328,Sheet1!$G$5:$I$192,2,TRUE)</f>
        <v>)|(</v>
      </c>
      <c r="P328" s="23">
        <v>1</v>
      </c>
      <c r="Q328" s="45" t="str">
        <f>VLOOKUP($D328,Sheet1!$J$5:$L$192,2,TRUE)</f>
        <v>)|(.</v>
      </c>
      <c r="R328" s="38">
        <f>FLOOR(VLOOKUP($D328,Sheet1!$M$5:$O$192,3,TRUE),1)</f>
        <v>19</v>
      </c>
      <c r="S328" s="45" t="str">
        <f>VLOOKUP($D328,Sheet1!$M$5:$O$192,2,TRUE)</f>
        <v>)|(.</v>
      </c>
      <c r="T328" s="108">
        <f>IF(ABS(D328-VLOOKUP($D328,Sheet1!$M$5:$T$192,8,TRUE))&lt;10^-10,"SoCA",D328-VLOOKUP($D328,Sheet1!$M$5:$T$192,8,TRUE))</f>
        <v>-8.347328706220658E-2</v>
      </c>
      <c r="U328" s="108">
        <f>IF(VLOOKUP($D328,Sheet1!$M$5:$U$192,9,TRUE)=0,"",IF(ABS(D328-VLOOKUP($D328,Sheet1!$M$5:$U$192,9,TRUE))&lt;10^-10,"Alt.",D328-VLOOKUP($D328,Sheet1!$M$5:$U$192,9,TRUE)))</f>
        <v>-0.11043358226464051</v>
      </c>
      <c r="V328" s="133">
        <f>$D328-Sheet1!$M$3*$R328</f>
        <v>-8.8679947951668225E-2</v>
      </c>
      <c r="Z328" s="6"/>
      <c r="AA328" s="61"/>
    </row>
    <row r="329" spans="1:27" ht="13.5">
      <c r="A329" s="6" t="s">
        <v>410</v>
      </c>
      <c r="B329" s="6">
        <f>3*61</f>
        <v>183</v>
      </c>
      <c r="C329" s="6">
        <f>2^3*23</f>
        <v>184</v>
      </c>
      <c r="D329" s="13">
        <f t="shared" si="9"/>
        <v>9.4345413275645083</v>
      </c>
      <c r="E329" s="61" t="s">
        <v>1931</v>
      </c>
      <c r="F329" s="65">
        <v>84.061414258323254</v>
      </c>
      <c r="G329" s="6">
        <v>273</v>
      </c>
      <c r="H329" s="6">
        <v>247</v>
      </c>
      <c r="I329" s="65">
        <v>-1.5809190814435601</v>
      </c>
      <c r="J329" s="6">
        <f>VLOOKUP($D329,Sheet1!$A$5:$C$192,3,TRUE)</f>
        <v>2</v>
      </c>
      <c r="K329" s="42" t="str">
        <f>VLOOKUP($D329,Sheet1!$A$5:$C$192,2,TRUE)</f>
        <v>)|(</v>
      </c>
      <c r="L329" s="6">
        <f>FLOOR(VLOOKUP($D329,Sheet1!$D$5:$F$192,3,TRUE),1)</f>
        <v>4</v>
      </c>
      <c r="M329" s="42" t="str">
        <f>VLOOKUP($D329,Sheet1!$D$5:$F$192,2,TRUE)</f>
        <v>)|(</v>
      </c>
      <c r="N329" s="23">
        <f>FLOOR(VLOOKUP($D329,Sheet1!$G$5:$I$192,3,TRUE),1)</f>
        <v>5</v>
      </c>
      <c r="O329" s="42" t="str">
        <f>VLOOKUP($D329,Sheet1!$G$5:$I$192,2,TRUE)</f>
        <v>)|(</v>
      </c>
      <c r="P329" s="23">
        <v>1</v>
      </c>
      <c r="Q329" s="43" t="str">
        <f>VLOOKUP($D329,Sheet1!$J$5:$L$192,2,TRUE)</f>
        <v>)|(.</v>
      </c>
      <c r="R329" s="23">
        <f>FLOOR(VLOOKUP($D329,Sheet1!$M$5:$O$192,3,TRUE),1)</f>
        <v>19</v>
      </c>
      <c r="S329" s="42" t="str">
        <f>VLOOKUP($D329,Sheet1!$M$5:$O$192,2,TRUE)</f>
        <v>)|(.</v>
      </c>
      <c r="T329" s="117">
        <f>IF(ABS(D329-VLOOKUP($D329,Sheet1!$M$5:$T$192,8,TRUE))&lt;10^-10,"SoCA",D329-VLOOKUP($D329,Sheet1!$M$5:$T$192,8,TRUE))</f>
        <v>0.16929685070063627</v>
      </c>
      <c r="U329" s="109">
        <f>IF(VLOOKUP($D329,Sheet1!$M$5:$U$192,9,TRUE)=0,"",IF(ABS(D329-VLOOKUP($D329,Sheet1!$M$5:$U$192,9,TRUE))&lt;10^-10,"Alt.",D329-VLOOKUP($D329,Sheet1!$M$5:$U$192,9,TRUE)))</f>
        <v>0.14233655549820234</v>
      </c>
      <c r="V329" s="132">
        <f>$D329-Sheet1!$M$3*$R329</f>
        <v>0.16409018981117462</v>
      </c>
      <c r="Z329" s="6"/>
      <c r="AA329" s="61"/>
    </row>
    <row r="330" spans="1:27" ht="13.5">
      <c r="A330" t="s">
        <v>1474</v>
      </c>
      <c r="B330">
        <v>37179</v>
      </c>
      <c r="C330">
        <v>37376</v>
      </c>
      <c r="D330" s="13">
        <f t="shared" si="9"/>
        <v>9.149055097901293</v>
      </c>
      <c r="E330" s="61" t="s">
        <v>1931</v>
      </c>
      <c r="F330" s="65">
        <v>93.961062457738592</v>
      </c>
      <c r="G330" s="6">
        <v>1385</v>
      </c>
      <c r="H330" s="6">
        <v>1323</v>
      </c>
      <c r="I330" s="65">
        <v>-7.5633406542002346</v>
      </c>
      <c r="J330" s="6">
        <f>VLOOKUP($D330,Sheet1!$A$5:$C$192,3,TRUE)</f>
        <v>2</v>
      </c>
      <c r="K330" s="42" t="str">
        <f>VLOOKUP($D330,Sheet1!$A$5:$C$192,2,TRUE)</f>
        <v>)|(</v>
      </c>
      <c r="L330" s="6">
        <f>FLOOR(VLOOKUP($D330,Sheet1!$D$5:$F$192,3,TRUE),1)</f>
        <v>4</v>
      </c>
      <c r="M330" s="42" t="str">
        <f>VLOOKUP($D330,Sheet1!$D$5:$F$192,2,TRUE)</f>
        <v>)|(</v>
      </c>
      <c r="N330" s="23">
        <f>FLOOR(VLOOKUP($D330,Sheet1!$G$5:$I$192,3,TRUE),1)</f>
        <v>5</v>
      </c>
      <c r="O330" s="42" t="str">
        <f>VLOOKUP($D330,Sheet1!$G$5:$I$192,2,TRUE)</f>
        <v>)|(</v>
      </c>
      <c r="P330" s="23">
        <v>1</v>
      </c>
      <c r="Q330" s="43" t="str">
        <f>VLOOKUP($D330,Sheet1!$J$5:$L$192,2,TRUE)</f>
        <v>)|(.</v>
      </c>
      <c r="R330" s="23">
        <f>FLOOR(VLOOKUP($D330,Sheet1!$M$5:$O$192,3,TRUE),1)</f>
        <v>19</v>
      </c>
      <c r="S330" s="42" t="str">
        <f>VLOOKUP($D330,Sheet1!$M$5:$O$192,2,TRUE)</f>
        <v>)|(.</v>
      </c>
      <c r="T330" s="117">
        <f>IF(ABS(D330-VLOOKUP($D330,Sheet1!$M$5:$T$192,8,TRUE))&lt;10^-10,"SoCA",D330-VLOOKUP($D330,Sheet1!$M$5:$T$192,8,TRUE))</f>
        <v>-0.11618937896257897</v>
      </c>
      <c r="U330" s="109">
        <f>IF(VLOOKUP($D330,Sheet1!$M$5:$U$192,9,TRUE)=0,"",IF(ABS(D330-VLOOKUP($D330,Sheet1!$M$5:$U$192,9,TRUE))&lt;10^-10,"Alt.",D330-VLOOKUP($D330,Sheet1!$M$5:$U$192,9,TRUE)))</f>
        <v>-0.1431496741650129</v>
      </c>
      <c r="V330" s="132">
        <f>$D330-Sheet1!$M$3*$R330</f>
        <v>-0.12139603985204062</v>
      </c>
      <c r="Z330" s="6"/>
      <c r="AA330" s="61"/>
    </row>
    <row r="331" spans="1:27" ht="13.5">
      <c r="A331" s="6" t="s">
        <v>1888</v>
      </c>
      <c r="B331">
        <v>4074381</v>
      </c>
      <c r="C331">
        <v>4096000</v>
      </c>
      <c r="D331" s="13">
        <f t="shared" si="9"/>
        <v>9.1617848068275229</v>
      </c>
      <c r="E331" s="61">
        <v>23</v>
      </c>
      <c r="F331" s="65">
        <v>104.91977425656314</v>
      </c>
      <c r="G331" s="59">
        <v>1724</v>
      </c>
      <c r="H331" s="63">
        <v>1000093</v>
      </c>
      <c r="I331" s="65">
        <v>-11.564124468755677</v>
      </c>
      <c r="J331" s="6">
        <f>VLOOKUP($D331,Sheet1!$A$5:$C$192,3,TRUE)</f>
        <v>2</v>
      </c>
      <c r="K331" s="42" t="str">
        <f>VLOOKUP($D331,Sheet1!$A$5:$C$192,2,TRUE)</f>
        <v>)|(</v>
      </c>
      <c r="L331" s="6">
        <f>FLOOR(VLOOKUP($D331,Sheet1!$D$5:$F$192,3,TRUE),1)</f>
        <v>4</v>
      </c>
      <c r="M331" s="42" t="str">
        <f>VLOOKUP($D331,Sheet1!$D$5:$F$192,2,TRUE)</f>
        <v>)|(</v>
      </c>
      <c r="N331" s="23">
        <f>FLOOR(VLOOKUP($D331,Sheet1!$G$5:$I$192,3,TRUE),1)</f>
        <v>5</v>
      </c>
      <c r="O331" s="42" t="str">
        <f>VLOOKUP($D331,Sheet1!$G$5:$I$192,2,TRUE)</f>
        <v>)|(</v>
      </c>
      <c r="P331" s="23">
        <v>1</v>
      </c>
      <c r="Q331" s="43" t="str">
        <f>VLOOKUP($D331,Sheet1!$J$5:$L$192,2,TRUE)</f>
        <v>)|(.</v>
      </c>
      <c r="R331" s="23">
        <f>FLOOR(VLOOKUP($D331,Sheet1!$M$5:$O$192,3,TRUE),1)</f>
        <v>19</v>
      </c>
      <c r="S331" s="42" t="str">
        <f>VLOOKUP($D331,Sheet1!$M$5:$O$192,2,TRUE)</f>
        <v>)|(.</v>
      </c>
      <c r="T331" s="117">
        <f>IF(ABS(D331-VLOOKUP($D331,Sheet1!$M$5:$T$192,8,TRUE))&lt;10^-10,"SoCA",D331-VLOOKUP($D331,Sheet1!$M$5:$T$192,8,TRUE))</f>
        <v>-0.10345967003634904</v>
      </c>
      <c r="U331" s="109">
        <f>IF(VLOOKUP($D331,Sheet1!$M$5:$U$192,9,TRUE)=0,"",IF(ABS(D331-VLOOKUP($D331,Sheet1!$M$5:$U$192,9,TRUE))&lt;10^-10,"Alt.",D331-VLOOKUP($D331,Sheet1!$M$5:$U$192,9,TRUE)))</f>
        <v>-0.13041996523878296</v>
      </c>
      <c r="V331" s="132">
        <f>$D331-Sheet1!$M$3*$R331</f>
        <v>-0.10866633092581068</v>
      </c>
      <c r="Z331" s="6"/>
      <c r="AA331" s="61"/>
    </row>
    <row r="332" spans="1:27" ht="13.5">
      <c r="A332" t="s">
        <v>1672</v>
      </c>
      <c r="B332">
        <v>3112960</v>
      </c>
      <c r="C332">
        <v>3129597</v>
      </c>
      <c r="D332" s="13">
        <f t="shared" si="9"/>
        <v>9.2278241325756873</v>
      </c>
      <c r="E332" s="61" t="s">
        <v>1931</v>
      </c>
      <c r="F332" s="65">
        <v>113.09411567332506</v>
      </c>
      <c r="G332" s="6">
        <v>1577</v>
      </c>
      <c r="H332" s="6">
        <v>1521</v>
      </c>
      <c r="I332" s="65">
        <v>9.4318092493636456</v>
      </c>
      <c r="J332" s="6">
        <f>VLOOKUP($D332,Sheet1!$A$5:$C$192,3,TRUE)</f>
        <v>2</v>
      </c>
      <c r="K332" s="42" t="str">
        <f>VLOOKUP($D332,Sheet1!$A$5:$C$192,2,TRUE)</f>
        <v>)|(</v>
      </c>
      <c r="L332" s="6">
        <f>FLOOR(VLOOKUP($D332,Sheet1!$D$5:$F$192,3,TRUE),1)</f>
        <v>4</v>
      </c>
      <c r="M332" s="42" t="str">
        <f>VLOOKUP($D332,Sheet1!$D$5:$F$192,2,TRUE)</f>
        <v>)|(</v>
      </c>
      <c r="N332" s="23">
        <f>FLOOR(VLOOKUP($D332,Sheet1!$G$5:$I$192,3,TRUE),1)</f>
        <v>5</v>
      </c>
      <c r="O332" s="42" t="str">
        <f>VLOOKUP($D332,Sheet1!$G$5:$I$192,2,TRUE)</f>
        <v>)|(</v>
      </c>
      <c r="P332" s="23">
        <v>1</v>
      </c>
      <c r="Q332" s="43" t="str">
        <f>VLOOKUP($D332,Sheet1!$J$5:$L$192,2,TRUE)</f>
        <v>)|(.</v>
      </c>
      <c r="R332" s="23">
        <f>FLOOR(VLOOKUP($D332,Sheet1!$M$5:$O$192,3,TRUE),1)</f>
        <v>19</v>
      </c>
      <c r="S332" s="42" t="str">
        <f>VLOOKUP($D332,Sheet1!$M$5:$O$192,2,TRUE)</f>
        <v>)|(.</v>
      </c>
      <c r="T332" s="117">
        <f>IF(ABS(D332-VLOOKUP($D332,Sheet1!$M$5:$T$192,8,TRUE))&lt;10^-10,"SoCA",D332-VLOOKUP($D332,Sheet1!$M$5:$T$192,8,TRUE))</f>
        <v>-3.7420344288184637E-2</v>
      </c>
      <c r="U332" s="109">
        <f>IF(VLOOKUP($D332,Sheet1!$M$5:$U$192,9,TRUE)=0,"",IF(ABS(D332-VLOOKUP($D332,Sheet1!$M$5:$U$192,9,TRUE))&lt;10^-10,"Alt.",D332-VLOOKUP($D332,Sheet1!$M$5:$U$192,9,TRUE)))</f>
        <v>-6.4380639490618563E-2</v>
      </c>
      <c r="V332" s="132">
        <f>$D332-Sheet1!$M$3*$R332</f>
        <v>-4.2627005177646282E-2</v>
      </c>
      <c r="Z332" s="6"/>
      <c r="AA332" s="61"/>
    </row>
    <row r="333" spans="1:27" ht="13.5">
      <c r="A333" t="s">
        <v>666</v>
      </c>
      <c r="B333">
        <v>4271484375</v>
      </c>
      <c r="C333">
        <v>4294967296</v>
      </c>
      <c r="D333" s="13">
        <f t="shared" si="9"/>
        <v>9.4915691587748743</v>
      </c>
      <c r="E333" s="61">
        <v>5</v>
      </c>
      <c r="F333" s="65">
        <v>129.40232903409986</v>
      </c>
      <c r="G333" s="6">
        <v>457</v>
      </c>
      <c r="H333" s="6">
        <v>511</v>
      </c>
      <c r="I333" s="65">
        <v>-7.5844304927748825</v>
      </c>
      <c r="J333" s="6">
        <f>VLOOKUP($D333,Sheet1!$A$5:$C$192,3,TRUE)</f>
        <v>2</v>
      </c>
      <c r="K333" s="42" t="str">
        <f>VLOOKUP($D333,Sheet1!$A$5:$C$192,2,TRUE)</f>
        <v>)|(</v>
      </c>
      <c r="L333" s="6">
        <f>FLOOR(VLOOKUP($D333,Sheet1!$D$5:$F$192,3,TRUE),1)</f>
        <v>4</v>
      </c>
      <c r="M333" s="42" t="str">
        <f>VLOOKUP($D333,Sheet1!$D$5:$F$192,2,TRUE)</f>
        <v>)|(</v>
      </c>
      <c r="N333" s="23">
        <f>FLOOR(VLOOKUP($D333,Sheet1!$G$5:$I$192,3,TRUE),1)</f>
        <v>5</v>
      </c>
      <c r="O333" s="42" t="str">
        <f>VLOOKUP($D333,Sheet1!$G$5:$I$192,2,TRUE)</f>
        <v>)|(</v>
      </c>
      <c r="P333" s="23">
        <v>1</v>
      </c>
      <c r="Q333" s="43" t="str">
        <f>VLOOKUP($D333,Sheet1!$J$5:$L$192,2,TRUE)</f>
        <v>)|(.</v>
      </c>
      <c r="R333" s="23">
        <f>FLOOR(VLOOKUP($D333,Sheet1!$M$5:$O$192,3,TRUE),1)</f>
        <v>19</v>
      </c>
      <c r="S333" s="42" t="str">
        <f>VLOOKUP($D333,Sheet1!$M$5:$O$192,2,TRUE)</f>
        <v>)|(.</v>
      </c>
      <c r="T333" s="117">
        <f>IF(ABS(D333-VLOOKUP($D333,Sheet1!$M$5:$T$192,8,TRUE))&lt;10^-10,"SoCA",D333-VLOOKUP($D333,Sheet1!$M$5:$T$192,8,TRUE))</f>
        <v>0.2263246819110023</v>
      </c>
      <c r="U333" s="109">
        <f>IF(VLOOKUP($D333,Sheet1!$M$5:$U$192,9,TRUE)=0,"",IF(ABS(D333-VLOOKUP($D333,Sheet1!$M$5:$U$192,9,TRUE))&lt;10^-10,"Alt.",D333-VLOOKUP($D333,Sheet1!$M$5:$U$192,9,TRUE)))</f>
        <v>0.19936438670856838</v>
      </c>
      <c r="V333" s="132">
        <f>$D333-Sheet1!$M$3*$R333</f>
        <v>0.22111802102154066</v>
      </c>
      <c r="Z333" s="6"/>
      <c r="AA333" s="61"/>
    </row>
    <row r="334" spans="1:27" ht="13.5">
      <c r="A334" t="s">
        <v>1764</v>
      </c>
      <c r="B334">
        <v>10747904</v>
      </c>
      <c r="C334">
        <v>10805967</v>
      </c>
      <c r="D334" s="13">
        <f t="shared" si="9"/>
        <v>9.3274090530245921</v>
      </c>
      <c r="E334" s="61" t="s">
        <v>1931</v>
      </c>
      <c r="F334" s="65">
        <v>145.91738947944447</v>
      </c>
      <c r="G334" s="6">
        <v>1664</v>
      </c>
      <c r="H334" s="6">
        <v>1613</v>
      </c>
      <c r="I334" s="65">
        <v>10.425677443003989</v>
      </c>
      <c r="J334" s="6">
        <f>VLOOKUP($D334,Sheet1!$A$5:$C$192,3,TRUE)</f>
        <v>2</v>
      </c>
      <c r="K334" s="42" t="str">
        <f>VLOOKUP($D334,Sheet1!$A$5:$C$192,2,TRUE)</f>
        <v>)|(</v>
      </c>
      <c r="L334" s="6">
        <f>FLOOR(VLOOKUP($D334,Sheet1!$D$5:$F$192,3,TRUE),1)</f>
        <v>4</v>
      </c>
      <c r="M334" s="42" t="str">
        <f>VLOOKUP($D334,Sheet1!$D$5:$F$192,2,TRUE)</f>
        <v>)|(</v>
      </c>
      <c r="N334" s="23">
        <f>FLOOR(VLOOKUP($D334,Sheet1!$G$5:$I$192,3,TRUE),1)</f>
        <v>5</v>
      </c>
      <c r="O334" s="42" t="str">
        <f>VLOOKUP($D334,Sheet1!$G$5:$I$192,2,TRUE)</f>
        <v>)|(</v>
      </c>
      <c r="P334" s="23">
        <v>1</v>
      </c>
      <c r="Q334" s="43" t="str">
        <f>VLOOKUP($D334,Sheet1!$J$5:$L$192,2,TRUE)</f>
        <v>)|(.</v>
      </c>
      <c r="R334" s="23">
        <f>FLOOR(VLOOKUP($D334,Sheet1!$M$5:$O$192,3,TRUE),1)</f>
        <v>19</v>
      </c>
      <c r="S334" s="42" t="str">
        <f>VLOOKUP($D334,Sheet1!$M$5:$O$192,2,TRUE)</f>
        <v>)|(.</v>
      </c>
      <c r="T334" s="117">
        <f>IF(ABS(D334-VLOOKUP($D334,Sheet1!$M$5:$T$192,8,TRUE))&lt;10^-10,"SoCA",D334-VLOOKUP($D334,Sheet1!$M$5:$T$192,8,TRUE))</f>
        <v>6.2164576160720131E-2</v>
      </c>
      <c r="U334" s="109">
        <f>IF(VLOOKUP($D334,Sheet1!$M$5:$U$192,9,TRUE)=0,"",IF(ABS(D334-VLOOKUP($D334,Sheet1!$M$5:$U$192,9,TRUE))&lt;10^-10,"Alt.",D334-VLOOKUP($D334,Sheet1!$M$5:$U$192,9,TRUE)))</f>
        <v>3.5204280958286205E-2</v>
      </c>
      <c r="V334" s="132">
        <f>$D334-Sheet1!$M$3*$R334</f>
        <v>5.6957915271258486E-2</v>
      </c>
      <c r="Z334" s="6"/>
      <c r="AA334" s="61"/>
    </row>
    <row r="335" spans="1:27" ht="13.5">
      <c r="A335" t="s">
        <v>1174</v>
      </c>
      <c r="B335">
        <v>80000</v>
      </c>
      <c r="C335">
        <v>80433</v>
      </c>
      <c r="D335" s="13">
        <f t="shared" si="9"/>
        <v>9.3450370362591304</v>
      </c>
      <c r="E335" s="61" t="s">
        <v>1931</v>
      </c>
      <c r="F335" s="65">
        <v>562.46650932595833</v>
      </c>
      <c r="G335" s="6">
        <v>1077</v>
      </c>
      <c r="H335" s="6">
        <v>1023</v>
      </c>
      <c r="I335" s="65">
        <v>4.4245920238539984</v>
      </c>
      <c r="J335" s="6">
        <f>VLOOKUP($D335,Sheet1!$A$5:$C$192,3,TRUE)</f>
        <v>2</v>
      </c>
      <c r="K335" s="42" t="str">
        <f>VLOOKUP($D335,Sheet1!$A$5:$C$192,2,TRUE)</f>
        <v>)|(</v>
      </c>
      <c r="L335" s="6">
        <f>FLOOR(VLOOKUP($D335,Sheet1!$D$5:$F$192,3,TRUE),1)</f>
        <v>4</v>
      </c>
      <c r="M335" s="42" t="str">
        <f>VLOOKUP($D335,Sheet1!$D$5:$F$192,2,TRUE)</f>
        <v>)|(</v>
      </c>
      <c r="N335" s="23">
        <f>FLOOR(VLOOKUP($D335,Sheet1!$G$5:$I$192,3,TRUE),1)</f>
        <v>5</v>
      </c>
      <c r="O335" s="42" t="str">
        <f>VLOOKUP($D335,Sheet1!$G$5:$I$192,2,TRUE)</f>
        <v>)|(</v>
      </c>
      <c r="P335" s="23">
        <v>1</v>
      </c>
      <c r="Q335" s="43" t="str">
        <f>VLOOKUP($D335,Sheet1!$J$5:$L$192,2,TRUE)</f>
        <v>)|(.</v>
      </c>
      <c r="R335" s="23">
        <f>FLOOR(VLOOKUP($D335,Sheet1!$M$5:$O$192,3,TRUE),1)</f>
        <v>19</v>
      </c>
      <c r="S335" s="42" t="str">
        <f>VLOOKUP($D335,Sheet1!$M$5:$O$192,2,TRUE)</f>
        <v>)|(.</v>
      </c>
      <c r="T335" s="117">
        <f>IF(ABS(D335-VLOOKUP($D335,Sheet1!$M$5:$T$192,8,TRUE))&lt;10^-10,"SoCA",D335-VLOOKUP($D335,Sheet1!$M$5:$T$192,8,TRUE))</f>
        <v>7.9792559395258422E-2</v>
      </c>
      <c r="U335" s="109">
        <f>IF(VLOOKUP($D335,Sheet1!$M$5:$U$192,9,TRUE)=0,"",IF(ABS(D335-VLOOKUP($D335,Sheet1!$M$5:$U$192,9,TRUE))&lt;10^-10,"Alt.",D335-VLOOKUP($D335,Sheet1!$M$5:$U$192,9,TRUE)))</f>
        <v>5.2832264192824496E-2</v>
      </c>
      <c r="V335" s="132">
        <f>$D335-Sheet1!$M$3*$R335</f>
        <v>7.4585898505796777E-2</v>
      </c>
      <c r="Z335" s="6"/>
      <c r="AA335" s="61"/>
    </row>
    <row r="336" spans="1:27" ht="13.5">
      <c r="A336" t="s">
        <v>1362</v>
      </c>
      <c r="B336">
        <v>2269801216</v>
      </c>
      <c r="C336">
        <v>2281939857</v>
      </c>
      <c r="D336" s="13">
        <f t="shared" si="9"/>
        <v>9.2337758629768558</v>
      </c>
      <c r="E336" s="61" t="s">
        <v>1931</v>
      </c>
      <c r="F336" s="65">
        <v>9909831.5357635915</v>
      </c>
      <c r="G336" s="6">
        <v>1276</v>
      </c>
      <c r="H336" s="6">
        <v>1211</v>
      </c>
      <c r="I336" s="65">
        <v>6.4314427796395117</v>
      </c>
      <c r="J336" s="6">
        <f>VLOOKUP($D336,Sheet1!$A$5:$C$192,3,TRUE)</f>
        <v>2</v>
      </c>
      <c r="K336" s="42" t="str">
        <f>VLOOKUP($D336,Sheet1!$A$5:$C$192,2,TRUE)</f>
        <v>)|(</v>
      </c>
      <c r="L336" s="6">
        <f>FLOOR(VLOOKUP($D336,Sheet1!$D$5:$F$192,3,TRUE),1)</f>
        <v>4</v>
      </c>
      <c r="M336" s="42" t="str">
        <f>VLOOKUP($D336,Sheet1!$D$5:$F$192,2,TRUE)</f>
        <v>)|(</v>
      </c>
      <c r="N336" s="23">
        <f>FLOOR(VLOOKUP($D336,Sheet1!$G$5:$I$192,3,TRUE),1)</f>
        <v>5</v>
      </c>
      <c r="O336" s="42" t="str">
        <f>VLOOKUP($D336,Sheet1!$G$5:$I$192,2,TRUE)</f>
        <v>)|(</v>
      </c>
      <c r="P336" s="23">
        <v>1</v>
      </c>
      <c r="Q336" s="43" t="str">
        <f>VLOOKUP($D336,Sheet1!$J$5:$L$192,2,TRUE)</f>
        <v>)|(.</v>
      </c>
      <c r="R336" s="23">
        <f>FLOOR(VLOOKUP($D336,Sheet1!$M$5:$O$192,3,TRUE),1)</f>
        <v>19</v>
      </c>
      <c r="S336" s="42" t="str">
        <f>VLOOKUP($D336,Sheet1!$M$5:$O$192,2,TRUE)</f>
        <v>)|(.</v>
      </c>
      <c r="T336" s="117">
        <f>IF(ABS(D336-VLOOKUP($D336,Sheet1!$M$5:$T$192,8,TRUE))&lt;10^-10,"SoCA",D336-VLOOKUP($D336,Sheet1!$M$5:$T$192,8,TRUE))</f>
        <v>-3.1468613887016161E-2</v>
      </c>
      <c r="U336" s="109">
        <f>IF(VLOOKUP($D336,Sheet1!$M$5:$U$192,9,TRUE)=0,"",IF(ABS(D336-VLOOKUP($D336,Sheet1!$M$5:$U$192,9,TRUE))&lt;10^-10,"Alt.",D336-VLOOKUP($D336,Sheet1!$M$5:$U$192,9,TRUE)))</f>
        <v>-5.8428909089450087E-2</v>
      </c>
      <c r="V336" s="132">
        <f>$D336-Sheet1!$M$3*$R336</f>
        <v>-3.6675274776477806E-2</v>
      </c>
      <c r="Z336" s="6"/>
      <c r="AA336" s="61"/>
    </row>
    <row r="337" spans="1:27" ht="13.5">
      <c r="A337" s="80" t="s">
        <v>43</v>
      </c>
      <c r="B337" s="80">
        <f>3^4*11</f>
        <v>891</v>
      </c>
      <c r="C337" s="84">
        <f>2^7*7</f>
        <v>896</v>
      </c>
      <c r="D337" s="51">
        <f t="shared" si="9"/>
        <v>9.6879606428186964</v>
      </c>
      <c r="E337" s="61">
        <v>11</v>
      </c>
      <c r="F337" s="65">
        <v>18.332582513299165</v>
      </c>
      <c r="G337" s="6">
        <v>21</v>
      </c>
      <c r="H337" s="6">
        <v>21</v>
      </c>
      <c r="I337" s="65">
        <v>-4.5965230319405919</v>
      </c>
      <c r="J337" s="81">
        <f>VLOOKUP($D337,Sheet1!$A$5:$C$192,3,TRUE)</f>
        <v>2</v>
      </c>
      <c r="K337" s="82" t="str">
        <f>VLOOKUP($D337,Sheet1!$A$5:$C$192,2,TRUE)</f>
        <v>)|(</v>
      </c>
      <c r="L337" s="81">
        <f>FLOOR(VLOOKUP($D337,Sheet1!$D$5:$F$192,3,TRUE),1)</f>
        <v>4</v>
      </c>
      <c r="M337" s="82" t="str">
        <f>VLOOKUP($D337,Sheet1!$D$5:$F$192,2,TRUE)</f>
        <v>)|(</v>
      </c>
      <c r="N337" s="81">
        <f>FLOOR(VLOOKUP($D337,Sheet1!$G$5:$I$192,3,TRUE),1)</f>
        <v>5</v>
      </c>
      <c r="O337" s="82" t="str">
        <f>VLOOKUP($D337,Sheet1!$G$5:$I$192,2,TRUE)</f>
        <v>)|(</v>
      </c>
      <c r="P337" s="81">
        <v>1</v>
      </c>
      <c r="Q337" s="82" t="str">
        <f>VLOOKUP($D337,Sheet1!$J$5:$L$192,2,TRUE)</f>
        <v>)|(</v>
      </c>
      <c r="R337" s="81">
        <f>FLOOR(VLOOKUP($D337,Sheet1!$M$5:$O$192,3,TRUE),1)</f>
        <v>20</v>
      </c>
      <c r="S337" s="82" t="str">
        <f>VLOOKUP($D337,Sheet1!$M$5:$O$192,2,TRUE)</f>
        <v>)|(</v>
      </c>
      <c r="T337" s="111" t="str">
        <f>IF(ABS(D337-VLOOKUP($D337,Sheet1!$M$5:$T$192,8,TRUE))&lt;10^-10,"SoCA",D337-VLOOKUP($D337,Sheet1!$M$5:$T$192,8,TRUE))</f>
        <v>SoCA</v>
      </c>
      <c r="U337" s="110" t="str">
        <f>IF(VLOOKUP($D337,Sheet1!$M$5:$U$192,9,TRUE)=0,"",IF(ABS(D337-VLOOKUP($D337,Sheet1!$M$5:$U$192,9,TRUE))&lt;10^-10,"Alt.",D337-VLOOKUP($D337,Sheet1!$M$5:$U$192,9,TRUE)))</f>
        <v/>
      </c>
      <c r="V337" s="135">
        <f>$D337-Sheet1!$M$3*$R337</f>
        <v>-7.0408975869023394E-2</v>
      </c>
      <c r="Z337" s="6"/>
      <c r="AA337" s="61"/>
    </row>
    <row r="338" spans="1:27" ht="13.5">
      <c r="A338" s="23" t="s">
        <v>306</v>
      </c>
      <c r="B338" s="23">
        <f>5^2*7</f>
        <v>175</v>
      </c>
      <c r="C338" s="23">
        <f>2^4*11</f>
        <v>176</v>
      </c>
      <c r="D338" s="13">
        <f t="shared" si="9"/>
        <v>9.8646081659622631</v>
      </c>
      <c r="E338" s="61">
        <v>11</v>
      </c>
      <c r="F338" s="65">
        <v>39.223707298362889</v>
      </c>
      <c r="G338" s="6">
        <v>157</v>
      </c>
      <c r="H338" s="6">
        <v>135</v>
      </c>
      <c r="I338" s="65">
        <v>-0.60739986350250641</v>
      </c>
      <c r="J338" s="6">
        <f>VLOOKUP($D338,Sheet1!$A$5:$C$192,3,TRUE)</f>
        <v>2</v>
      </c>
      <c r="K338" s="42" t="str">
        <f>VLOOKUP($D338,Sheet1!$A$5:$C$192,2,TRUE)</f>
        <v>)|(</v>
      </c>
      <c r="L338" s="6">
        <f>FLOOR(VLOOKUP($D338,Sheet1!$D$5:$F$192,3,TRUE),1)</f>
        <v>4</v>
      </c>
      <c r="M338" s="42" t="str">
        <f>VLOOKUP($D338,Sheet1!$D$5:$F$192,2,TRUE)</f>
        <v>)|(</v>
      </c>
      <c r="N338" s="23">
        <f>FLOOR(VLOOKUP($D338,Sheet1!$G$5:$I$192,3,TRUE),1)</f>
        <v>5</v>
      </c>
      <c r="O338" s="42" t="str">
        <f>VLOOKUP($D338,Sheet1!$G$5:$I$192,2,TRUE)</f>
        <v>)|(</v>
      </c>
      <c r="P338" s="23">
        <v>1</v>
      </c>
      <c r="Q338" s="43" t="str">
        <f>VLOOKUP($D338,Sheet1!$J$5:$L$192,2,TRUE)</f>
        <v>)|(</v>
      </c>
      <c r="R338" s="23">
        <f>FLOOR(VLOOKUP($D338,Sheet1!$M$5:$O$192,3,TRUE),1)</f>
        <v>20</v>
      </c>
      <c r="S338" s="43" t="str">
        <f>VLOOKUP($D338,Sheet1!$M$5:$O$192,2,TRUE)</f>
        <v>)|(</v>
      </c>
      <c r="T338" s="117">
        <f>IF(ABS(D338-VLOOKUP($D338,Sheet1!$M$5:$T$192,8,TRUE))&lt;10^-10,"SoCA",D338-VLOOKUP($D338,Sheet1!$M$5:$T$192,8,TRUE))</f>
        <v>0.17664752314356669</v>
      </c>
      <c r="U338" s="117" t="str">
        <f>IF(VLOOKUP($D338,Sheet1!$M$5:$U$192,9,TRUE)=0,"",IF(ABS(D338-VLOOKUP($D338,Sheet1!$M$5:$U$192,9,TRUE))&lt;10^-10,"Alt.",D338-VLOOKUP($D338,Sheet1!$M$5:$U$192,9,TRUE)))</f>
        <v/>
      </c>
      <c r="V338" s="132">
        <f>$D338-Sheet1!$M$3*$R338</f>
        <v>0.10623854727454329</v>
      </c>
      <c r="Z338" s="6"/>
      <c r="AA338" s="61"/>
    </row>
    <row r="339" spans="1:27" ht="13.5">
      <c r="A339" s="40" t="s">
        <v>343</v>
      </c>
      <c r="B339" s="40">
        <f>2^20*7</f>
        <v>7340032</v>
      </c>
      <c r="C339" s="40">
        <f>3^10*5^3</f>
        <v>7381125</v>
      </c>
      <c r="D339" s="13">
        <f t="shared" si="9"/>
        <v>9.665243779253812</v>
      </c>
      <c r="E339" s="61">
        <v>7</v>
      </c>
      <c r="F339" s="65">
        <v>45.739428268626682</v>
      </c>
      <c r="G339" s="6">
        <v>132</v>
      </c>
      <c r="H339" s="6">
        <v>177</v>
      </c>
      <c r="I339" s="65">
        <v>9.4048757281111381</v>
      </c>
      <c r="J339" s="6">
        <f>VLOOKUP($D339,Sheet1!$A$5:$C$192,3,TRUE)</f>
        <v>2</v>
      </c>
      <c r="K339" s="42" t="str">
        <f>VLOOKUP($D339,Sheet1!$A$5:$C$192,2,TRUE)</f>
        <v>)|(</v>
      </c>
      <c r="L339" s="6">
        <f>FLOOR(VLOOKUP($D339,Sheet1!$D$5:$F$192,3,TRUE),1)</f>
        <v>4</v>
      </c>
      <c r="M339" s="42" t="str">
        <f>VLOOKUP($D339,Sheet1!$D$5:$F$192,2,TRUE)</f>
        <v>)|(</v>
      </c>
      <c r="N339" s="23">
        <f>FLOOR(VLOOKUP($D339,Sheet1!$G$5:$I$192,3,TRUE),1)</f>
        <v>5</v>
      </c>
      <c r="O339" s="42" t="str">
        <f>VLOOKUP($D339,Sheet1!$G$5:$I$192,2,TRUE)</f>
        <v>)|(</v>
      </c>
      <c r="P339" s="23">
        <v>1</v>
      </c>
      <c r="Q339" s="43" t="str">
        <f>VLOOKUP($D339,Sheet1!$J$5:$L$192,2,TRUE)</f>
        <v>)|(</v>
      </c>
      <c r="R339" s="40">
        <f>FLOOR(VLOOKUP($D339,Sheet1!$M$5:$O$192,3,TRUE),1)</f>
        <v>20</v>
      </c>
      <c r="S339" s="46" t="str">
        <f>VLOOKUP($D339,Sheet1!$M$5:$O$192,2,TRUE)</f>
        <v>~|''</v>
      </c>
      <c r="T339" s="115">
        <f>IF(ABS(D339-VLOOKUP($D339,Sheet1!$M$5:$T$192,8,TRUE))&lt;10^-10,"SoCA",D339-VLOOKUP($D339,Sheet1!$M$5:$T$192,8,TRUE))</f>
        <v>0.1031230178474658</v>
      </c>
      <c r="U339" s="115">
        <f>IF(VLOOKUP($D339,Sheet1!$M$5:$U$192,9,TRUE)=0,"",IF(ABS(D339-VLOOKUP($D339,Sheet1!$M$5:$U$192,9,TRUE))&lt;10^-10,"Alt.",D339-VLOOKUP($D339,Sheet1!$M$5:$U$192,9,TRUE)))</f>
        <v>0.11717518524192272</v>
      </c>
      <c r="V339" s="132">
        <f>$D339-Sheet1!$M$3*$R339</f>
        <v>-9.3125839433907842E-2</v>
      </c>
      <c r="Z339" s="6"/>
      <c r="AA339" s="61"/>
    </row>
    <row r="340" spans="1:27" ht="13.5">
      <c r="A340" t="s">
        <v>1067</v>
      </c>
      <c r="B340">
        <v>50336</v>
      </c>
      <c r="C340">
        <v>50625</v>
      </c>
      <c r="D340" s="13">
        <f t="shared" si="9"/>
        <v>9.911312422064789</v>
      </c>
      <c r="E340" s="61">
        <v>13</v>
      </c>
      <c r="F340" s="65">
        <v>66.295727042343501</v>
      </c>
      <c r="G340" s="6">
        <v>983</v>
      </c>
      <c r="H340" s="6">
        <v>916</v>
      </c>
      <c r="I340" s="65">
        <v>3.3897243852963923</v>
      </c>
      <c r="J340" s="6">
        <f>VLOOKUP($D340,Sheet1!$A$5:$C$192,3,TRUE)</f>
        <v>2</v>
      </c>
      <c r="K340" s="42" t="str">
        <f>VLOOKUP($D340,Sheet1!$A$5:$C$192,2,TRUE)</f>
        <v>)|(</v>
      </c>
      <c r="L340" s="6">
        <f>FLOOR(VLOOKUP($D340,Sheet1!$D$5:$F$192,3,TRUE),1)</f>
        <v>4</v>
      </c>
      <c r="M340" s="42" t="str">
        <f>VLOOKUP($D340,Sheet1!$D$5:$F$192,2,TRUE)</f>
        <v>)|(</v>
      </c>
      <c r="N340" s="23">
        <f>FLOOR(VLOOKUP($D340,Sheet1!$G$5:$I$192,3,TRUE),1)</f>
        <v>5</v>
      </c>
      <c r="O340" s="42" t="str">
        <f>VLOOKUP($D340,Sheet1!$G$5:$I$192,2,TRUE)</f>
        <v>)|(</v>
      </c>
      <c r="P340" s="23">
        <v>1</v>
      </c>
      <c r="Q340" s="43" t="str">
        <f>VLOOKUP($D340,Sheet1!$J$5:$L$192,2,TRUE)</f>
        <v>)|(</v>
      </c>
      <c r="R340" s="23">
        <f>FLOOR(VLOOKUP($D340,Sheet1!$M$5:$O$192,3,TRUE),1)</f>
        <v>20</v>
      </c>
      <c r="S340" s="43" t="str">
        <f>VLOOKUP($D340,Sheet1!$M$5:$O$192,2,TRUE)</f>
        <v>)|(</v>
      </c>
      <c r="T340" s="117">
        <f>IF(ABS(D340-VLOOKUP($D340,Sheet1!$M$5:$T$192,8,TRUE))&lt;10^-10,"SoCA",D340-VLOOKUP($D340,Sheet1!$M$5:$T$192,8,TRUE))</f>
        <v>0.22335177924609262</v>
      </c>
      <c r="U340" s="117" t="str">
        <f>IF(VLOOKUP($D340,Sheet1!$M$5:$U$192,9,TRUE)=0,"",IF(ABS(D340-VLOOKUP($D340,Sheet1!$M$5:$U$192,9,TRUE))&lt;10^-10,"Alt.",D340-VLOOKUP($D340,Sheet1!$M$5:$U$192,9,TRUE)))</f>
        <v/>
      </c>
      <c r="V340" s="132">
        <f>$D340-Sheet1!$M$3*$R340</f>
        <v>0.15294280337706923</v>
      </c>
      <c r="Z340" s="6"/>
      <c r="AA340" s="61"/>
    </row>
    <row r="341" spans="1:27" ht="13.5">
      <c r="A341" s="6" t="s">
        <v>344</v>
      </c>
      <c r="B341" s="6">
        <f>2^4*11</f>
        <v>176</v>
      </c>
      <c r="C341" s="6">
        <f>3*59</f>
        <v>177</v>
      </c>
      <c r="D341" s="13">
        <f t="shared" si="9"/>
        <v>9.8087177348401173</v>
      </c>
      <c r="E341" s="61" t="s">
        <v>1931</v>
      </c>
      <c r="F341" s="65">
        <v>70.03916975101059</v>
      </c>
      <c r="G341" s="6">
        <v>198</v>
      </c>
      <c r="H341" s="6">
        <v>178</v>
      </c>
      <c r="I341" s="65">
        <v>0.39604151396161058</v>
      </c>
      <c r="J341" s="6">
        <f>VLOOKUP($D341,Sheet1!$A$5:$C$192,3,TRUE)</f>
        <v>2</v>
      </c>
      <c r="K341" s="42" t="str">
        <f>VLOOKUP($D341,Sheet1!$A$5:$C$192,2,TRUE)</f>
        <v>)|(</v>
      </c>
      <c r="L341" s="6">
        <f>FLOOR(VLOOKUP($D341,Sheet1!$D$5:$F$192,3,TRUE),1)</f>
        <v>4</v>
      </c>
      <c r="M341" s="42" t="str">
        <f>VLOOKUP($D341,Sheet1!$D$5:$F$192,2,TRUE)</f>
        <v>)|(</v>
      </c>
      <c r="N341" s="23">
        <f>FLOOR(VLOOKUP($D341,Sheet1!$G$5:$I$192,3,TRUE),1)</f>
        <v>5</v>
      </c>
      <c r="O341" s="42" t="str">
        <f>VLOOKUP($D341,Sheet1!$G$5:$I$192,2,TRUE)</f>
        <v>)|(</v>
      </c>
      <c r="P341" s="23">
        <v>1</v>
      </c>
      <c r="Q341" s="43" t="str">
        <f>VLOOKUP($D341,Sheet1!$J$5:$L$192,2,TRUE)</f>
        <v>)|(</v>
      </c>
      <c r="R341" s="23">
        <f>FLOOR(VLOOKUP($D341,Sheet1!$M$5:$O$192,3,TRUE),1)</f>
        <v>20</v>
      </c>
      <c r="S341" s="42" t="str">
        <f>VLOOKUP($D341,Sheet1!$M$5:$O$192,2,TRUE)</f>
        <v>)|(</v>
      </c>
      <c r="T341" s="117">
        <f>IF(ABS(D341-VLOOKUP($D341,Sheet1!$M$5:$T$192,8,TRUE))&lt;10^-10,"SoCA",D341-VLOOKUP($D341,Sheet1!$M$5:$T$192,8,TRUE))</f>
        <v>0.12075709202142093</v>
      </c>
      <c r="U341" s="109" t="str">
        <f>IF(VLOOKUP($D341,Sheet1!$M$5:$U$192,9,TRUE)=0,"",IF(ABS(D341-VLOOKUP($D341,Sheet1!$M$5:$U$192,9,TRUE))&lt;10^-10,"Alt.",D341-VLOOKUP($D341,Sheet1!$M$5:$U$192,9,TRUE)))</f>
        <v/>
      </c>
      <c r="V341" s="132">
        <f>$D341-Sheet1!$M$3*$R341</f>
        <v>5.0348116152397537E-2</v>
      </c>
      <c r="Z341" s="6"/>
      <c r="AA341" s="61"/>
    </row>
    <row r="342" spans="1:27" ht="13.5">
      <c r="A342" t="s">
        <v>1456</v>
      </c>
      <c r="B342">
        <v>67108864</v>
      </c>
      <c r="C342">
        <v>67479885</v>
      </c>
      <c r="D342" s="13">
        <f t="shared" si="9"/>
        <v>9.5450150178548654</v>
      </c>
      <c r="E342" s="61">
        <v>17</v>
      </c>
      <c r="F342" s="65">
        <v>83.708649083317056</v>
      </c>
      <c r="G342" s="6">
        <v>1369</v>
      </c>
      <c r="H342" s="6">
        <v>1305</v>
      </c>
      <c r="I342" s="65">
        <v>7.4122786509676963</v>
      </c>
      <c r="J342" s="6">
        <f>VLOOKUP($D342,Sheet1!$A$5:$C$192,3,TRUE)</f>
        <v>2</v>
      </c>
      <c r="K342" s="42" t="str">
        <f>VLOOKUP($D342,Sheet1!$A$5:$C$192,2,TRUE)</f>
        <v>)|(</v>
      </c>
      <c r="L342" s="6">
        <f>FLOOR(VLOOKUP($D342,Sheet1!$D$5:$F$192,3,TRUE),1)</f>
        <v>4</v>
      </c>
      <c r="M342" s="42" t="str">
        <f>VLOOKUP($D342,Sheet1!$D$5:$F$192,2,TRUE)</f>
        <v>)|(</v>
      </c>
      <c r="N342" s="23">
        <f>FLOOR(VLOOKUP($D342,Sheet1!$G$5:$I$192,3,TRUE),1)</f>
        <v>5</v>
      </c>
      <c r="O342" s="42" t="str">
        <f>VLOOKUP($D342,Sheet1!$G$5:$I$192,2,TRUE)</f>
        <v>)|(</v>
      </c>
      <c r="P342" s="23">
        <v>1</v>
      </c>
      <c r="Q342" s="43" t="str">
        <f>VLOOKUP($D342,Sheet1!$J$5:$L$192,2,TRUE)</f>
        <v>)|(</v>
      </c>
      <c r="R342" s="23">
        <f>FLOOR(VLOOKUP($D342,Sheet1!$M$5:$O$192,3,TRUE),1)</f>
        <v>20</v>
      </c>
      <c r="S342" s="42" t="str">
        <f>VLOOKUP($D342,Sheet1!$M$5:$O$192,2,TRUE)</f>
        <v>~|''</v>
      </c>
      <c r="T342" s="117">
        <f>IF(ABS(D342-VLOOKUP($D342,Sheet1!$M$5:$T$192,8,TRUE))&lt;10^-10,"SoCA",D342-VLOOKUP($D342,Sheet1!$M$5:$T$192,8,TRUE))</f>
        <v>-1.7105743551480757E-2</v>
      </c>
      <c r="U342" s="109">
        <f>IF(VLOOKUP($D342,Sheet1!$M$5:$U$192,9,TRUE)=0,"",IF(ABS(D342-VLOOKUP($D342,Sheet1!$M$5:$U$192,9,TRUE))&lt;10^-10,"Alt.",D342-VLOOKUP($D342,Sheet1!$M$5:$U$192,9,TRUE)))</f>
        <v>-3.0535761570238407E-3</v>
      </c>
      <c r="V342" s="132">
        <f>$D342-Sheet1!$M$3*$R342</f>
        <v>-0.2133546008328544</v>
      </c>
      <c r="Z342" s="6"/>
      <c r="AA342" s="61"/>
    </row>
    <row r="343" spans="1:27" ht="13.5">
      <c r="A343" t="s">
        <v>1287</v>
      </c>
      <c r="B343">
        <v>176128</v>
      </c>
      <c r="C343">
        <v>177147</v>
      </c>
      <c r="D343" s="13">
        <f t="shared" si="9"/>
        <v>9.9873038767441944</v>
      </c>
      <c r="E343" s="61">
        <v>43</v>
      </c>
      <c r="F343" s="65">
        <v>87.194195733070018</v>
      </c>
      <c r="G343" s="59">
        <v>295</v>
      </c>
      <c r="H343" s="59">
        <v>1136</v>
      </c>
      <c r="I343" s="65">
        <v>10.385045314579839</v>
      </c>
      <c r="J343" s="6">
        <f>VLOOKUP($D343,Sheet1!$A$5:$C$192,3,TRUE)</f>
        <v>2</v>
      </c>
      <c r="K343" s="42" t="str">
        <f>VLOOKUP($D343,Sheet1!$A$5:$C$192,2,TRUE)</f>
        <v>)|(</v>
      </c>
      <c r="L343" s="6">
        <f>FLOOR(VLOOKUP($D343,Sheet1!$D$5:$F$192,3,TRUE),1)</f>
        <v>4</v>
      </c>
      <c r="M343" s="42" t="str">
        <f>VLOOKUP($D343,Sheet1!$D$5:$F$192,2,TRUE)</f>
        <v>)|(</v>
      </c>
      <c r="N343" s="23">
        <f>FLOOR(VLOOKUP($D343,Sheet1!$G$5:$I$192,3,TRUE),1)</f>
        <v>5</v>
      </c>
      <c r="O343" s="42" t="str">
        <f>VLOOKUP($D343,Sheet1!$G$5:$I$192,2,TRUE)</f>
        <v>)|(</v>
      </c>
      <c r="P343" s="23">
        <v>1</v>
      </c>
      <c r="Q343" s="43" t="str">
        <f>VLOOKUP($D343,Sheet1!$J$5:$L$192,2,TRUE)</f>
        <v>)|(</v>
      </c>
      <c r="R343" s="23">
        <f>FLOOR(VLOOKUP($D343,Sheet1!$M$5:$O$192,3,TRUE),1)</f>
        <v>20</v>
      </c>
      <c r="S343" s="42" t="str">
        <f>VLOOKUP($D343,Sheet1!$M$5:$O$192,2,TRUE)</f>
        <v>)|(</v>
      </c>
      <c r="T343" s="117">
        <f>IF(ABS(D343-VLOOKUP($D343,Sheet1!$M$5:$T$192,8,TRUE))&lt;10^-10,"SoCA",D343-VLOOKUP($D343,Sheet1!$M$5:$T$192,8,TRUE))</f>
        <v>0.299343233925498</v>
      </c>
      <c r="U343" s="109" t="str">
        <f>IF(VLOOKUP($D343,Sheet1!$M$5:$U$192,9,TRUE)=0,"",IF(ABS(D343-VLOOKUP($D343,Sheet1!$M$5:$U$192,9,TRUE))&lt;10^-10,"Alt.",D343-VLOOKUP($D343,Sheet1!$M$5:$U$192,9,TRUE)))</f>
        <v/>
      </c>
      <c r="V343" s="132">
        <f>$D343-Sheet1!$M$3*$R343</f>
        <v>0.2289342580564746</v>
      </c>
      <c r="Z343" s="6"/>
      <c r="AA343" s="61"/>
    </row>
    <row r="344" spans="1:27" ht="13.5">
      <c r="A344" s="6" t="s">
        <v>370</v>
      </c>
      <c r="B344" s="6">
        <f>2^10*7</f>
        <v>7168</v>
      </c>
      <c r="C344" s="6">
        <f>3^4*89</f>
        <v>7209</v>
      </c>
      <c r="D344" s="13">
        <f t="shared" si="9"/>
        <v>9.8742141521021036</v>
      </c>
      <c r="E344" s="61" t="s">
        <v>1931</v>
      </c>
      <c r="F344" s="65">
        <v>96.335575576408161</v>
      </c>
      <c r="G344" s="6">
        <v>218</v>
      </c>
      <c r="H344" s="6">
        <v>205</v>
      </c>
      <c r="I344" s="65">
        <v>3.3920086609343505</v>
      </c>
      <c r="J344" s="6">
        <f>VLOOKUP($D344,Sheet1!$A$5:$C$192,3,TRUE)</f>
        <v>2</v>
      </c>
      <c r="K344" s="42" t="str">
        <f>VLOOKUP($D344,Sheet1!$A$5:$C$192,2,TRUE)</f>
        <v>)|(</v>
      </c>
      <c r="L344" s="6">
        <f>FLOOR(VLOOKUP($D344,Sheet1!$D$5:$F$192,3,TRUE),1)</f>
        <v>4</v>
      </c>
      <c r="M344" s="42" t="str">
        <f>VLOOKUP($D344,Sheet1!$D$5:$F$192,2,TRUE)</f>
        <v>)|(</v>
      </c>
      <c r="N344" s="23">
        <f>FLOOR(VLOOKUP($D344,Sheet1!$G$5:$I$192,3,TRUE),1)</f>
        <v>5</v>
      </c>
      <c r="O344" s="42" t="str">
        <f>VLOOKUP($D344,Sheet1!$G$5:$I$192,2,TRUE)</f>
        <v>)|(</v>
      </c>
      <c r="P344" s="23">
        <v>1</v>
      </c>
      <c r="Q344" s="43" t="str">
        <f>VLOOKUP($D344,Sheet1!$J$5:$L$192,2,TRUE)</f>
        <v>)|(</v>
      </c>
      <c r="R344" s="23">
        <f>FLOOR(VLOOKUP($D344,Sheet1!$M$5:$O$192,3,TRUE),1)</f>
        <v>20</v>
      </c>
      <c r="S344" s="42" t="str">
        <f>VLOOKUP($D344,Sheet1!$M$5:$O$192,2,TRUE)</f>
        <v>)|(</v>
      </c>
      <c r="T344" s="117">
        <f>IF(ABS(D344-VLOOKUP($D344,Sheet1!$M$5:$T$192,8,TRUE))&lt;10^-10,"SoCA",D344-VLOOKUP($D344,Sheet1!$M$5:$T$192,8,TRUE))</f>
        <v>0.18625350928340723</v>
      </c>
      <c r="U344" s="109" t="str">
        <f>IF(VLOOKUP($D344,Sheet1!$M$5:$U$192,9,TRUE)=0,"",IF(ABS(D344-VLOOKUP($D344,Sheet1!$M$5:$U$192,9,TRUE))&lt;10^-10,"Alt.",D344-VLOOKUP($D344,Sheet1!$M$5:$U$192,9,TRUE)))</f>
        <v/>
      </c>
      <c r="V344" s="132">
        <f>$D344-Sheet1!$M$3*$R344</f>
        <v>0.11584453341438383</v>
      </c>
      <c r="Z344" s="6"/>
      <c r="AA344" s="61"/>
    </row>
    <row r="345" spans="1:27" ht="13.5">
      <c r="A345" t="s">
        <v>1268</v>
      </c>
      <c r="B345">
        <v>81920</v>
      </c>
      <c r="C345">
        <v>82377</v>
      </c>
      <c r="D345" s="13">
        <f t="shared" si="9"/>
        <v>9.6310462257150924</v>
      </c>
      <c r="E345" s="61" t="s">
        <v>1931</v>
      </c>
      <c r="F345" s="65">
        <v>119.40738646918462</v>
      </c>
      <c r="G345" s="6">
        <v>1174</v>
      </c>
      <c r="H345" s="6">
        <v>1117</v>
      </c>
      <c r="I345" s="65">
        <v>5.4069813960709876</v>
      </c>
      <c r="J345" s="6">
        <f>VLOOKUP($D345,Sheet1!$A$5:$C$192,3,TRUE)</f>
        <v>2</v>
      </c>
      <c r="K345" s="42" t="str">
        <f>VLOOKUP($D345,Sheet1!$A$5:$C$192,2,TRUE)</f>
        <v>)|(</v>
      </c>
      <c r="L345" s="6">
        <f>FLOOR(VLOOKUP($D345,Sheet1!$D$5:$F$192,3,TRUE),1)</f>
        <v>4</v>
      </c>
      <c r="M345" s="42" t="str">
        <f>VLOOKUP($D345,Sheet1!$D$5:$F$192,2,TRUE)</f>
        <v>)|(</v>
      </c>
      <c r="N345" s="23">
        <f>FLOOR(VLOOKUP($D345,Sheet1!$G$5:$I$192,3,TRUE),1)</f>
        <v>5</v>
      </c>
      <c r="O345" s="42" t="str">
        <f>VLOOKUP($D345,Sheet1!$G$5:$I$192,2,TRUE)</f>
        <v>)|(</v>
      </c>
      <c r="P345" s="23">
        <v>1</v>
      </c>
      <c r="Q345" s="43" t="str">
        <f>VLOOKUP($D345,Sheet1!$J$5:$L$192,2,TRUE)</f>
        <v>)|(</v>
      </c>
      <c r="R345" s="23">
        <f>FLOOR(VLOOKUP($D345,Sheet1!$M$5:$O$192,3,TRUE),1)</f>
        <v>20</v>
      </c>
      <c r="S345" s="42" t="str">
        <f>VLOOKUP($D345,Sheet1!$M$5:$O$192,2,TRUE)</f>
        <v>~|''</v>
      </c>
      <c r="T345" s="117">
        <f>IF(ABS(D345-VLOOKUP($D345,Sheet1!$M$5:$T$192,8,TRUE))&lt;10^-10,"SoCA",D345-VLOOKUP($D345,Sheet1!$M$5:$T$192,8,TRUE))</f>
        <v>6.8925464308746243E-2</v>
      </c>
      <c r="U345" s="109">
        <f>IF(VLOOKUP($D345,Sheet1!$M$5:$U$192,9,TRUE)=0,"",IF(ABS(D345-VLOOKUP($D345,Sheet1!$M$5:$U$192,9,TRUE))&lt;10^-10,"Alt.",D345-VLOOKUP($D345,Sheet1!$M$5:$U$192,9,TRUE)))</f>
        <v>8.2977631703203159E-2</v>
      </c>
      <c r="V345" s="132">
        <f>$D345-Sheet1!$M$3*$R345</f>
        <v>-0.1273233929726274</v>
      </c>
      <c r="Z345" s="6"/>
      <c r="AA345" s="61"/>
    </row>
    <row r="346" spans="1:27" ht="13.5">
      <c r="A346" s="6" t="s">
        <v>1881</v>
      </c>
      <c r="B346">
        <v>16384000</v>
      </c>
      <c r="C346">
        <v>16474671</v>
      </c>
      <c r="D346" s="13">
        <f t="shared" si="9"/>
        <v>9.55444125439465</v>
      </c>
      <c r="E346" s="61">
        <v>31</v>
      </c>
      <c r="F346" s="65">
        <v>137.32856189165057</v>
      </c>
      <c r="G346" s="59">
        <v>1717</v>
      </c>
      <c r="H346" s="63">
        <v>1000086</v>
      </c>
      <c r="I346" s="65">
        <v>11.411698243242292</v>
      </c>
      <c r="J346" s="6">
        <f>VLOOKUP($D346,Sheet1!$A$5:$C$192,3,TRUE)</f>
        <v>2</v>
      </c>
      <c r="K346" s="42" t="str">
        <f>VLOOKUP($D346,Sheet1!$A$5:$C$192,2,TRUE)</f>
        <v>)|(</v>
      </c>
      <c r="L346" s="6">
        <f>FLOOR(VLOOKUP($D346,Sheet1!$D$5:$F$192,3,TRUE),1)</f>
        <v>4</v>
      </c>
      <c r="M346" s="42" t="str">
        <f>VLOOKUP($D346,Sheet1!$D$5:$F$192,2,TRUE)</f>
        <v>)|(</v>
      </c>
      <c r="N346" s="23">
        <f>FLOOR(VLOOKUP($D346,Sheet1!$G$5:$I$192,3,TRUE),1)</f>
        <v>5</v>
      </c>
      <c r="O346" s="42" t="str">
        <f>VLOOKUP($D346,Sheet1!$G$5:$I$192,2,TRUE)</f>
        <v>)|(</v>
      </c>
      <c r="P346" s="23">
        <v>1</v>
      </c>
      <c r="Q346" s="43" t="str">
        <f>VLOOKUP($D346,Sheet1!$J$5:$L$192,2,TRUE)</f>
        <v>)|(</v>
      </c>
      <c r="R346" s="23">
        <f>FLOOR(VLOOKUP($D346,Sheet1!$M$5:$O$192,3,TRUE),1)</f>
        <v>20</v>
      </c>
      <c r="S346" s="42" t="str">
        <f>VLOOKUP($D346,Sheet1!$M$5:$O$192,2,TRUE)</f>
        <v>~|''</v>
      </c>
      <c r="T346" s="117">
        <f>IF(ABS(D346-VLOOKUP($D346,Sheet1!$M$5:$T$192,8,TRUE))&lt;10^-10,"SoCA",D346-VLOOKUP($D346,Sheet1!$M$5:$T$192,8,TRUE))</f>
        <v>-7.6795070116961739E-3</v>
      </c>
      <c r="U346" s="109">
        <f>IF(VLOOKUP($D346,Sheet1!$M$5:$U$192,9,TRUE)=0,"",IF(ABS(D346-VLOOKUP($D346,Sheet1!$M$5:$U$192,9,TRUE))&lt;10^-10,"Alt.",D346-VLOOKUP($D346,Sheet1!$M$5:$U$192,9,TRUE)))</f>
        <v>6.372660382760742E-3</v>
      </c>
      <c r="V346" s="132">
        <f>$D346-Sheet1!$M$3*$R346</f>
        <v>-0.20392836429306982</v>
      </c>
      <c r="Z346" s="6"/>
      <c r="AA346" s="61"/>
    </row>
    <row r="347" spans="1:27" ht="13.5">
      <c r="A347" t="s">
        <v>1172</v>
      </c>
      <c r="B347">
        <v>223040</v>
      </c>
      <c r="C347">
        <v>224289</v>
      </c>
      <c r="D347" s="13">
        <f t="shared" si="9"/>
        <v>9.66768059492364</v>
      </c>
      <c r="E347" s="61" t="s">
        <v>1931</v>
      </c>
      <c r="F347" s="65">
        <v>177.13505087803188</v>
      </c>
      <c r="G347" s="6">
        <v>1075</v>
      </c>
      <c r="H347" s="6">
        <v>1021</v>
      </c>
      <c r="I347" s="65">
        <v>4.4047256844925435</v>
      </c>
      <c r="J347" s="6">
        <f>VLOOKUP($D347,Sheet1!$A$5:$C$192,3,TRUE)</f>
        <v>2</v>
      </c>
      <c r="K347" s="42" t="str">
        <f>VLOOKUP($D347,Sheet1!$A$5:$C$192,2,TRUE)</f>
        <v>)|(</v>
      </c>
      <c r="L347" s="6">
        <f>FLOOR(VLOOKUP($D347,Sheet1!$D$5:$F$192,3,TRUE),1)</f>
        <v>4</v>
      </c>
      <c r="M347" s="42" t="str">
        <f>VLOOKUP($D347,Sheet1!$D$5:$F$192,2,TRUE)</f>
        <v>)|(</v>
      </c>
      <c r="N347" s="23">
        <f>FLOOR(VLOOKUP($D347,Sheet1!$G$5:$I$192,3,TRUE),1)</f>
        <v>5</v>
      </c>
      <c r="O347" s="42" t="str">
        <f>VLOOKUP($D347,Sheet1!$G$5:$I$192,2,TRUE)</f>
        <v>)|(</v>
      </c>
      <c r="P347" s="23">
        <v>1</v>
      </c>
      <c r="Q347" s="43" t="str">
        <f>VLOOKUP($D347,Sheet1!$J$5:$L$192,2,TRUE)</f>
        <v>)|(</v>
      </c>
      <c r="R347" s="23">
        <f>FLOOR(VLOOKUP($D347,Sheet1!$M$5:$O$192,3,TRUE),1)</f>
        <v>20</v>
      </c>
      <c r="S347" s="42" t="str">
        <f>VLOOKUP($D347,Sheet1!$M$5:$O$192,2,TRUE)</f>
        <v>~|''</v>
      </c>
      <c r="T347" s="117">
        <f>IF(ABS(D347-VLOOKUP($D347,Sheet1!$M$5:$T$192,8,TRUE))&lt;10^-10,"SoCA",D347-VLOOKUP($D347,Sheet1!$M$5:$T$192,8,TRUE))</f>
        <v>0.10555983351729381</v>
      </c>
      <c r="U347" s="109">
        <f>IF(VLOOKUP($D347,Sheet1!$M$5:$U$192,9,TRUE)=0,"",IF(ABS(D347-VLOOKUP($D347,Sheet1!$M$5:$U$192,9,TRUE))&lt;10^-10,"Alt.",D347-VLOOKUP($D347,Sheet1!$M$5:$U$192,9,TRUE)))</f>
        <v>0.11961200091175073</v>
      </c>
      <c r="V347" s="132">
        <f>$D347-Sheet1!$M$3*$R347</f>
        <v>-9.0689023764079835E-2</v>
      </c>
      <c r="Z347" s="6"/>
      <c r="AA347" s="61"/>
    </row>
    <row r="348" spans="1:27" ht="13.5">
      <c r="A348" s="6" t="s">
        <v>1879</v>
      </c>
      <c r="B348">
        <v>67108864</v>
      </c>
      <c r="C348">
        <v>67493007</v>
      </c>
      <c r="D348" s="13">
        <f t="shared" si="9"/>
        <v>9.8816345112480377</v>
      </c>
      <c r="E348" s="61" t="s">
        <v>1931</v>
      </c>
      <c r="F348" s="65">
        <v>243.44562278841187</v>
      </c>
      <c r="G348" s="59">
        <v>1715</v>
      </c>
      <c r="H348" s="63">
        <v>1000084</v>
      </c>
      <c r="I348" s="65">
        <v>11.391551762387895</v>
      </c>
      <c r="J348" s="6">
        <f>VLOOKUP($D348,Sheet1!$A$5:$C$192,3,TRUE)</f>
        <v>2</v>
      </c>
      <c r="K348" s="42" t="str">
        <f>VLOOKUP($D348,Sheet1!$A$5:$C$192,2,TRUE)</f>
        <v>)|(</v>
      </c>
      <c r="L348" s="6">
        <f>FLOOR(VLOOKUP($D348,Sheet1!$D$5:$F$192,3,TRUE),1)</f>
        <v>4</v>
      </c>
      <c r="M348" s="42" t="str">
        <f>VLOOKUP($D348,Sheet1!$D$5:$F$192,2,TRUE)</f>
        <v>)|(</v>
      </c>
      <c r="N348" s="23">
        <f>FLOOR(VLOOKUP($D348,Sheet1!$G$5:$I$192,3,TRUE),1)</f>
        <v>5</v>
      </c>
      <c r="O348" s="42" t="str">
        <f>VLOOKUP($D348,Sheet1!$G$5:$I$192,2,TRUE)</f>
        <v>)|(</v>
      </c>
      <c r="P348" s="23">
        <v>1</v>
      </c>
      <c r="Q348" s="43" t="str">
        <f>VLOOKUP($D348,Sheet1!$J$5:$L$192,2,TRUE)</f>
        <v>)|(</v>
      </c>
      <c r="R348" s="23">
        <f>FLOOR(VLOOKUP($D348,Sheet1!$M$5:$O$192,3,TRUE),1)</f>
        <v>20</v>
      </c>
      <c r="S348" s="42" t="str">
        <f>VLOOKUP($D348,Sheet1!$M$5:$O$192,2,TRUE)</f>
        <v>)|(</v>
      </c>
      <c r="T348" s="117">
        <f>IF(ABS(D348-VLOOKUP($D348,Sheet1!$M$5:$T$192,8,TRUE))&lt;10^-10,"SoCA",D348-VLOOKUP($D348,Sheet1!$M$5:$T$192,8,TRUE))</f>
        <v>0.19367386842934131</v>
      </c>
      <c r="U348" s="109" t="str">
        <f>IF(VLOOKUP($D348,Sheet1!$M$5:$U$192,9,TRUE)=0,"",IF(ABS(D348-VLOOKUP($D348,Sheet1!$M$5:$U$192,9,TRUE))&lt;10^-10,"Alt.",D348-VLOOKUP($D348,Sheet1!$M$5:$U$192,9,TRUE)))</f>
        <v/>
      </c>
      <c r="V348" s="132">
        <f>$D348-Sheet1!$M$3*$R348</f>
        <v>0.12326489256031792</v>
      </c>
      <c r="Z348" s="6"/>
      <c r="AA348" s="61"/>
    </row>
    <row r="349" spans="1:27" ht="13.5">
      <c r="A349" t="s">
        <v>1381</v>
      </c>
      <c r="B349">
        <v>91125</v>
      </c>
      <c r="C349">
        <v>91648</v>
      </c>
      <c r="D349" s="13">
        <f t="shared" si="9"/>
        <v>9.9077859302787505</v>
      </c>
      <c r="E349" s="61" t="s">
        <v>1931</v>
      </c>
      <c r="F349" s="65">
        <v>273.9571779829086</v>
      </c>
      <c r="G349" s="6">
        <v>1294</v>
      </c>
      <c r="H349" s="6">
        <v>1230</v>
      </c>
      <c r="I349" s="65">
        <v>-6.6100584757566327</v>
      </c>
      <c r="J349" s="6">
        <f>VLOOKUP($D349,Sheet1!$A$5:$C$192,3,TRUE)</f>
        <v>2</v>
      </c>
      <c r="K349" s="42" t="str">
        <f>VLOOKUP($D349,Sheet1!$A$5:$C$192,2,TRUE)</f>
        <v>)|(</v>
      </c>
      <c r="L349" s="6">
        <f>FLOOR(VLOOKUP($D349,Sheet1!$D$5:$F$192,3,TRUE),1)</f>
        <v>4</v>
      </c>
      <c r="M349" s="42" t="str">
        <f>VLOOKUP($D349,Sheet1!$D$5:$F$192,2,TRUE)</f>
        <v>)|(</v>
      </c>
      <c r="N349" s="23">
        <f>FLOOR(VLOOKUP($D349,Sheet1!$G$5:$I$192,3,TRUE),1)</f>
        <v>5</v>
      </c>
      <c r="O349" s="42" t="str">
        <f>VLOOKUP($D349,Sheet1!$G$5:$I$192,2,TRUE)</f>
        <v>)|(</v>
      </c>
      <c r="P349" s="23">
        <v>1</v>
      </c>
      <c r="Q349" s="43" t="str">
        <f>VLOOKUP($D349,Sheet1!$J$5:$L$192,2,TRUE)</f>
        <v>)|(</v>
      </c>
      <c r="R349" s="23">
        <f>FLOOR(VLOOKUP($D349,Sheet1!$M$5:$O$192,3,TRUE),1)</f>
        <v>20</v>
      </c>
      <c r="S349" s="42" t="str">
        <f>VLOOKUP($D349,Sheet1!$M$5:$O$192,2,TRUE)</f>
        <v>)|(</v>
      </c>
      <c r="T349" s="117">
        <f>IF(ABS(D349-VLOOKUP($D349,Sheet1!$M$5:$T$192,8,TRUE))&lt;10^-10,"SoCA",D349-VLOOKUP($D349,Sheet1!$M$5:$T$192,8,TRUE))</f>
        <v>0.21982528746005414</v>
      </c>
      <c r="U349" s="109" t="str">
        <f>IF(VLOOKUP($D349,Sheet1!$M$5:$U$192,9,TRUE)=0,"",IF(ABS(D349-VLOOKUP($D349,Sheet1!$M$5:$U$192,9,TRUE))&lt;10^-10,"Alt.",D349-VLOOKUP($D349,Sheet1!$M$5:$U$192,9,TRUE)))</f>
        <v/>
      </c>
      <c r="V349" s="132">
        <f>$D349-Sheet1!$M$3*$R349</f>
        <v>0.14941631159103075</v>
      </c>
      <c r="Z349" s="6"/>
      <c r="AA349" s="61"/>
    </row>
    <row r="350" spans="1:27" ht="13.5">
      <c r="A350" s="6" t="s">
        <v>1893</v>
      </c>
      <c r="B350">
        <v>12577437</v>
      </c>
      <c r="C350">
        <v>12648448</v>
      </c>
      <c r="D350" s="13">
        <f t="shared" si="9"/>
        <v>9.7468917968163868</v>
      </c>
      <c r="E350" s="61" t="s">
        <v>1931</v>
      </c>
      <c r="F350" s="65">
        <v>343.46400236264213</v>
      </c>
      <c r="G350" s="59">
        <v>1729</v>
      </c>
      <c r="H350" s="63">
        <v>1000098</v>
      </c>
      <c r="I350" s="65">
        <v>-11.600151637790113</v>
      </c>
      <c r="J350" s="6">
        <f>VLOOKUP($D350,Sheet1!$A$5:$C$192,3,TRUE)</f>
        <v>2</v>
      </c>
      <c r="K350" s="42" t="str">
        <f>VLOOKUP($D350,Sheet1!$A$5:$C$192,2,TRUE)</f>
        <v>)|(</v>
      </c>
      <c r="L350" s="6">
        <f>FLOOR(VLOOKUP($D350,Sheet1!$D$5:$F$192,3,TRUE),1)</f>
        <v>4</v>
      </c>
      <c r="M350" s="42" t="str">
        <f>VLOOKUP($D350,Sheet1!$D$5:$F$192,2,TRUE)</f>
        <v>)|(</v>
      </c>
      <c r="N350" s="23">
        <f>FLOOR(VLOOKUP($D350,Sheet1!$G$5:$I$192,3,TRUE),1)</f>
        <v>5</v>
      </c>
      <c r="O350" s="42" t="str">
        <f>VLOOKUP($D350,Sheet1!$G$5:$I$192,2,TRUE)</f>
        <v>)|(</v>
      </c>
      <c r="P350" s="23">
        <v>1</v>
      </c>
      <c r="Q350" s="43" t="str">
        <f>VLOOKUP($D350,Sheet1!$J$5:$L$192,2,TRUE)</f>
        <v>)|(</v>
      </c>
      <c r="R350" s="23">
        <f>FLOOR(VLOOKUP($D350,Sheet1!$M$5:$O$192,3,TRUE),1)</f>
        <v>20</v>
      </c>
      <c r="S350" s="42" t="str">
        <f>VLOOKUP($D350,Sheet1!$M$5:$O$192,2,TRUE)</f>
        <v>)|(</v>
      </c>
      <c r="T350" s="117">
        <f>IF(ABS(D350-VLOOKUP($D350,Sheet1!$M$5:$T$192,8,TRUE))&lt;10^-10,"SoCA",D350-VLOOKUP($D350,Sheet1!$M$5:$T$192,8,TRUE))</f>
        <v>5.8931153997690444E-2</v>
      </c>
      <c r="U350" s="109" t="str">
        <f>IF(VLOOKUP($D350,Sheet1!$M$5:$U$192,9,TRUE)=0,"",IF(ABS(D350-VLOOKUP($D350,Sheet1!$M$5:$U$192,9,TRUE))&lt;10^-10,"Alt.",D350-VLOOKUP($D350,Sheet1!$M$5:$U$192,9,TRUE)))</f>
        <v/>
      </c>
      <c r="V350" s="132">
        <f>$D350-Sheet1!$M$3*$R350</f>
        <v>-1.1477821871332949E-2</v>
      </c>
      <c r="Z350" s="6"/>
      <c r="AA350" s="61"/>
    </row>
    <row r="351" spans="1:27" ht="13.5">
      <c r="A351" t="s">
        <v>972</v>
      </c>
      <c r="B351">
        <v>18016</v>
      </c>
      <c r="C351">
        <v>18117</v>
      </c>
      <c r="D351" s="13">
        <f t="shared" si="9"/>
        <v>9.6784155401070677</v>
      </c>
      <c r="E351" s="61" t="s">
        <v>1931</v>
      </c>
      <c r="F351" s="65">
        <v>762.23707230520904</v>
      </c>
      <c r="G351" s="6">
        <v>882</v>
      </c>
      <c r="H351" s="6">
        <v>820</v>
      </c>
      <c r="I351" s="65">
        <v>2.4040646948080657</v>
      </c>
      <c r="J351" s="6">
        <f>VLOOKUP($D351,Sheet1!$A$5:$C$192,3,TRUE)</f>
        <v>2</v>
      </c>
      <c r="K351" s="42" t="str">
        <f>VLOOKUP($D351,Sheet1!$A$5:$C$192,2,TRUE)</f>
        <v>)|(</v>
      </c>
      <c r="L351" s="6">
        <f>FLOOR(VLOOKUP($D351,Sheet1!$D$5:$F$192,3,TRUE),1)</f>
        <v>4</v>
      </c>
      <c r="M351" s="42" t="str">
        <f>VLOOKUP($D351,Sheet1!$D$5:$F$192,2,TRUE)</f>
        <v>)|(</v>
      </c>
      <c r="N351" s="23">
        <f>FLOOR(VLOOKUP($D351,Sheet1!$G$5:$I$192,3,TRUE),1)</f>
        <v>5</v>
      </c>
      <c r="O351" s="42" t="str">
        <f>VLOOKUP($D351,Sheet1!$G$5:$I$192,2,TRUE)</f>
        <v>)|(</v>
      </c>
      <c r="P351" s="23">
        <v>1</v>
      </c>
      <c r="Q351" s="43" t="str">
        <f>VLOOKUP($D351,Sheet1!$J$5:$L$192,2,TRUE)</f>
        <v>)|(</v>
      </c>
      <c r="R351" s="23">
        <f>FLOOR(VLOOKUP($D351,Sheet1!$M$5:$O$192,3,TRUE),1)</f>
        <v>20</v>
      </c>
      <c r="S351" s="42" t="str">
        <f>VLOOKUP($D351,Sheet1!$M$5:$O$192,2,TRUE)</f>
        <v>)|(</v>
      </c>
      <c r="T351" s="117">
        <f>IF(ABS(D351-VLOOKUP($D351,Sheet1!$M$5:$T$192,8,TRUE))&lt;10^-10,"SoCA",D351-VLOOKUP($D351,Sheet1!$M$5:$T$192,8,TRUE))</f>
        <v>-9.5451027116286724E-3</v>
      </c>
      <c r="U351" s="109" t="str">
        <f>IF(VLOOKUP($D351,Sheet1!$M$5:$U$192,9,TRUE)=0,"",IF(ABS(D351-VLOOKUP($D351,Sheet1!$M$5:$U$192,9,TRUE))&lt;10^-10,"Alt.",D351-VLOOKUP($D351,Sheet1!$M$5:$U$192,9,TRUE)))</f>
        <v/>
      </c>
      <c r="V351" s="132">
        <f>$D351-Sheet1!$M$3*$R351</f>
        <v>-7.9954078580652066E-2</v>
      </c>
      <c r="Z351" s="6"/>
      <c r="AA351" s="61"/>
    </row>
    <row r="352" spans="1:27" ht="13.5">
      <c r="A352" t="s">
        <v>1266</v>
      </c>
      <c r="B352">
        <v>1270784</v>
      </c>
      <c r="C352">
        <v>1277937</v>
      </c>
      <c r="D352" s="13">
        <f t="shared" si="9"/>
        <v>9.7174619473423256</v>
      </c>
      <c r="E352" s="61" t="s">
        <v>1931</v>
      </c>
      <c r="F352" s="65">
        <v>2213.8074906326096</v>
      </c>
      <c r="G352" s="6">
        <v>1172</v>
      </c>
      <c r="H352" s="6">
        <v>1115</v>
      </c>
      <c r="I352" s="65">
        <v>5.4016604652607842</v>
      </c>
      <c r="J352" s="6">
        <f>VLOOKUP($D352,Sheet1!$A$5:$C$192,3,TRUE)</f>
        <v>2</v>
      </c>
      <c r="K352" s="42" t="str">
        <f>VLOOKUP($D352,Sheet1!$A$5:$C$192,2,TRUE)</f>
        <v>)|(</v>
      </c>
      <c r="L352" s="6">
        <f>FLOOR(VLOOKUP($D352,Sheet1!$D$5:$F$192,3,TRUE),1)</f>
        <v>4</v>
      </c>
      <c r="M352" s="42" t="str">
        <f>VLOOKUP($D352,Sheet1!$D$5:$F$192,2,TRUE)</f>
        <v>)|(</v>
      </c>
      <c r="N352" s="23">
        <f>FLOOR(VLOOKUP($D352,Sheet1!$G$5:$I$192,3,TRUE),1)</f>
        <v>5</v>
      </c>
      <c r="O352" s="42" t="str">
        <f>VLOOKUP($D352,Sheet1!$G$5:$I$192,2,TRUE)</f>
        <v>)|(</v>
      </c>
      <c r="P352" s="23">
        <v>1</v>
      </c>
      <c r="Q352" s="43" t="str">
        <f>VLOOKUP($D352,Sheet1!$J$5:$L$192,2,TRUE)</f>
        <v>)|(</v>
      </c>
      <c r="R352" s="23">
        <f>FLOOR(VLOOKUP($D352,Sheet1!$M$5:$O$192,3,TRUE),1)</f>
        <v>20</v>
      </c>
      <c r="S352" s="42" t="str">
        <f>VLOOKUP($D352,Sheet1!$M$5:$O$192,2,TRUE)</f>
        <v>)|(</v>
      </c>
      <c r="T352" s="117">
        <f>IF(ABS(D352-VLOOKUP($D352,Sheet1!$M$5:$T$192,8,TRUE))&lt;10^-10,"SoCA",D352-VLOOKUP($D352,Sheet1!$M$5:$T$192,8,TRUE))</f>
        <v>2.9501304523629202E-2</v>
      </c>
      <c r="U352" s="109" t="str">
        <f>IF(VLOOKUP($D352,Sheet1!$M$5:$U$192,9,TRUE)=0,"",IF(ABS(D352-VLOOKUP($D352,Sheet1!$M$5:$U$192,9,TRUE))&lt;10^-10,"Alt.",D352-VLOOKUP($D352,Sheet1!$M$5:$U$192,9,TRUE)))</f>
        <v/>
      </c>
      <c r="V352" s="132">
        <f>$D352-Sheet1!$M$3*$R352</f>
        <v>-4.0907671345394192E-2</v>
      </c>
      <c r="Z352" s="6"/>
      <c r="AA352" s="61"/>
    </row>
    <row r="353" spans="1:27" ht="13.5">
      <c r="A353" t="s">
        <v>862</v>
      </c>
      <c r="B353">
        <v>5594</v>
      </c>
      <c r="C353">
        <v>5625</v>
      </c>
      <c r="D353" s="13">
        <f t="shared" si="9"/>
        <v>9.5674110186840498</v>
      </c>
      <c r="E353" s="61" t="s">
        <v>1931</v>
      </c>
      <c r="F353" s="65">
        <v>4507.3461176609571</v>
      </c>
      <c r="G353" s="6">
        <v>767</v>
      </c>
      <c r="H353" s="6">
        <v>709</v>
      </c>
      <c r="I353" s="65">
        <v>1.4108996476035705</v>
      </c>
      <c r="J353" s="6">
        <f>VLOOKUP($D353,Sheet1!$A$5:$C$192,3,TRUE)</f>
        <v>2</v>
      </c>
      <c r="K353" s="42" t="str">
        <f>VLOOKUP($D353,Sheet1!$A$5:$C$192,2,TRUE)</f>
        <v>)|(</v>
      </c>
      <c r="L353" s="6">
        <f>FLOOR(VLOOKUP($D353,Sheet1!$D$5:$F$192,3,TRUE),1)</f>
        <v>4</v>
      </c>
      <c r="M353" s="42" t="str">
        <f>VLOOKUP($D353,Sheet1!$D$5:$F$192,2,TRUE)</f>
        <v>)|(</v>
      </c>
      <c r="N353" s="23">
        <f>FLOOR(VLOOKUP($D353,Sheet1!$G$5:$I$192,3,TRUE),1)</f>
        <v>5</v>
      </c>
      <c r="O353" s="42" t="str">
        <f>VLOOKUP($D353,Sheet1!$G$5:$I$192,2,TRUE)</f>
        <v>)|(</v>
      </c>
      <c r="P353" s="23">
        <v>1</v>
      </c>
      <c r="Q353" s="43" t="str">
        <f>VLOOKUP($D353,Sheet1!$J$5:$L$192,2,TRUE)</f>
        <v>)|(</v>
      </c>
      <c r="R353" s="23">
        <f>FLOOR(VLOOKUP($D353,Sheet1!$M$5:$O$192,3,TRUE),1)</f>
        <v>20</v>
      </c>
      <c r="S353" s="42" t="str">
        <f>VLOOKUP($D353,Sheet1!$M$5:$O$192,2,TRUE)</f>
        <v>~|''</v>
      </c>
      <c r="T353" s="117">
        <f>IF(ABS(D353-VLOOKUP($D353,Sheet1!$M$5:$T$192,8,TRUE))&lt;10^-10,"SoCA",D353-VLOOKUP($D353,Sheet1!$M$5:$T$192,8,TRUE))</f>
        <v>5.2902572777036028E-3</v>
      </c>
      <c r="U353" s="109">
        <f>IF(VLOOKUP($D353,Sheet1!$M$5:$U$192,9,TRUE)=0,"",IF(ABS(D353-VLOOKUP($D353,Sheet1!$M$5:$U$192,9,TRUE))&lt;10^-10,"Alt.",D353-VLOOKUP($D353,Sheet1!$M$5:$U$192,9,TRUE)))</f>
        <v>1.9342424672160519E-2</v>
      </c>
      <c r="V353" s="132">
        <f>$D353-Sheet1!$M$3*$R353</f>
        <v>-0.19095860000367004</v>
      </c>
      <c r="Z353" s="6"/>
      <c r="AA353" s="61"/>
    </row>
    <row r="354" spans="1:27" ht="13.5">
      <c r="A354" t="s">
        <v>1171</v>
      </c>
      <c r="B354">
        <v>401585408</v>
      </c>
      <c r="C354">
        <v>403867215</v>
      </c>
      <c r="D354" s="13">
        <f t="shared" si="9"/>
        <v>9.8090252039865824</v>
      </c>
      <c r="E354" s="61" t="s">
        <v>1931</v>
      </c>
      <c r="F354" s="65">
        <v>26843.494409344166</v>
      </c>
      <c r="G354" s="6">
        <v>1074</v>
      </c>
      <c r="H354" s="6">
        <v>1020</v>
      </c>
      <c r="I354" s="65">
        <v>4.3960225819660916</v>
      </c>
      <c r="J354" s="6">
        <f>VLOOKUP($D354,Sheet1!$A$5:$C$192,3,TRUE)</f>
        <v>2</v>
      </c>
      <c r="K354" s="42" t="str">
        <f>VLOOKUP($D354,Sheet1!$A$5:$C$192,2,TRUE)</f>
        <v>)|(</v>
      </c>
      <c r="L354" s="6">
        <f>FLOOR(VLOOKUP($D354,Sheet1!$D$5:$F$192,3,TRUE),1)</f>
        <v>4</v>
      </c>
      <c r="M354" s="42" t="str">
        <f>VLOOKUP($D354,Sheet1!$D$5:$F$192,2,TRUE)</f>
        <v>)|(</v>
      </c>
      <c r="N354" s="23">
        <f>FLOOR(VLOOKUP($D354,Sheet1!$G$5:$I$192,3,TRUE),1)</f>
        <v>5</v>
      </c>
      <c r="O354" s="42" t="str">
        <f>VLOOKUP($D354,Sheet1!$G$5:$I$192,2,TRUE)</f>
        <v>)|(</v>
      </c>
      <c r="P354" s="23">
        <v>1</v>
      </c>
      <c r="Q354" s="43" t="str">
        <f>VLOOKUP($D354,Sheet1!$J$5:$L$192,2,TRUE)</f>
        <v>)|(</v>
      </c>
      <c r="R354" s="23">
        <f>FLOOR(VLOOKUP($D354,Sheet1!$M$5:$O$192,3,TRUE),1)</f>
        <v>20</v>
      </c>
      <c r="S354" s="42" t="str">
        <f>VLOOKUP($D354,Sheet1!$M$5:$O$192,2,TRUE)</f>
        <v>)|(</v>
      </c>
      <c r="T354" s="117">
        <f>IF(ABS(D354-VLOOKUP($D354,Sheet1!$M$5:$T$192,8,TRUE))&lt;10^-10,"SoCA",D354-VLOOKUP($D354,Sheet1!$M$5:$T$192,8,TRUE))</f>
        <v>0.121064561167886</v>
      </c>
      <c r="U354" s="109" t="str">
        <f>IF(VLOOKUP($D354,Sheet1!$M$5:$U$192,9,TRUE)=0,"",IF(ABS(D354-VLOOKUP($D354,Sheet1!$M$5:$U$192,9,TRUE))&lt;10^-10,"Alt.",D354-VLOOKUP($D354,Sheet1!$M$5:$U$192,9,TRUE)))</f>
        <v/>
      </c>
      <c r="V354" s="132">
        <f>$D354-Sheet1!$M$3*$R354</f>
        <v>5.0655585298862604E-2</v>
      </c>
      <c r="Z354" s="6"/>
      <c r="AA354" s="61"/>
    </row>
    <row r="355" spans="1:27" ht="13.5">
      <c r="A355" t="s">
        <v>1068</v>
      </c>
      <c r="B355">
        <v>1275968</v>
      </c>
      <c r="C355">
        <v>1283121</v>
      </c>
      <c r="D355" s="13">
        <f t="shared" si="9"/>
        <v>9.6780920108910955</v>
      </c>
      <c r="E355" s="61" t="s">
        <v>1931</v>
      </c>
      <c r="F355" s="65">
        <v>28067.927437279635</v>
      </c>
      <c r="G355" s="6">
        <v>984</v>
      </c>
      <c r="H355" s="6">
        <v>917</v>
      </c>
      <c r="I355" s="65">
        <v>3.4040846156805742</v>
      </c>
      <c r="J355" s="6">
        <f>VLOOKUP($D355,Sheet1!$A$5:$C$192,3,TRUE)</f>
        <v>2</v>
      </c>
      <c r="K355" s="42" t="str">
        <f>VLOOKUP($D355,Sheet1!$A$5:$C$192,2,TRUE)</f>
        <v>)|(</v>
      </c>
      <c r="L355" s="6">
        <f>FLOOR(VLOOKUP($D355,Sheet1!$D$5:$F$192,3,TRUE),1)</f>
        <v>4</v>
      </c>
      <c r="M355" s="42" t="str">
        <f>VLOOKUP($D355,Sheet1!$D$5:$F$192,2,TRUE)</f>
        <v>)|(</v>
      </c>
      <c r="N355" s="23">
        <f>FLOOR(VLOOKUP($D355,Sheet1!$G$5:$I$192,3,TRUE),1)</f>
        <v>5</v>
      </c>
      <c r="O355" s="42" t="str">
        <f>VLOOKUP($D355,Sheet1!$G$5:$I$192,2,TRUE)</f>
        <v>)|(</v>
      </c>
      <c r="P355" s="23">
        <v>1</v>
      </c>
      <c r="Q355" s="43" t="str">
        <f>VLOOKUP($D355,Sheet1!$J$5:$L$192,2,TRUE)</f>
        <v>)|(</v>
      </c>
      <c r="R355" s="23">
        <f>FLOOR(VLOOKUP($D355,Sheet1!$M$5:$O$192,3,TRUE),1)</f>
        <v>20</v>
      </c>
      <c r="S355" s="42" t="str">
        <f>VLOOKUP($D355,Sheet1!$M$5:$O$192,2,TRUE)</f>
        <v>)|(</v>
      </c>
      <c r="T355" s="117">
        <f>IF(ABS(D355-VLOOKUP($D355,Sheet1!$M$5:$T$192,8,TRUE))&lt;10^-10,"SoCA",D355-VLOOKUP($D355,Sheet1!$M$5:$T$192,8,TRUE))</f>
        <v>-9.8686319276009016E-3</v>
      </c>
      <c r="U355" s="109" t="str">
        <f>IF(VLOOKUP($D355,Sheet1!$M$5:$U$192,9,TRUE)=0,"",IF(ABS(D355-VLOOKUP($D355,Sheet1!$M$5:$U$192,9,TRUE))&lt;10^-10,"Alt.",D355-VLOOKUP($D355,Sheet1!$M$5:$U$192,9,TRUE)))</f>
        <v/>
      </c>
      <c r="V355" s="132">
        <f>$D355-Sheet1!$M$3*$R355</f>
        <v>-8.0277607796624295E-2</v>
      </c>
      <c r="Z355" s="6"/>
      <c r="AA355" s="61"/>
    </row>
    <row r="356" spans="1:27" ht="13.5">
      <c r="A356" t="s">
        <v>1574</v>
      </c>
      <c r="B356">
        <v>1049760</v>
      </c>
      <c r="C356">
        <v>1055723</v>
      </c>
      <c r="D356" s="13">
        <f t="shared" si="9"/>
        <v>9.8061834132690926</v>
      </c>
      <c r="E356" s="61" t="s">
        <v>1931</v>
      </c>
      <c r="F356" s="65">
        <v>55133.926457748457</v>
      </c>
      <c r="G356" s="6">
        <v>1481</v>
      </c>
      <c r="H356" s="6">
        <v>1423</v>
      </c>
      <c r="I356" s="65">
        <v>-8.6038024386262251</v>
      </c>
      <c r="J356" s="6">
        <f>VLOOKUP($D356,Sheet1!$A$5:$C$192,3,TRUE)</f>
        <v>2</v>
      </c>
      <c r="K356" s="42" t="str">
        <f>VLOOKUP($D356,Sheet1!$A$5:$C$192,2,TRUE)</f>
        <v>)|(</v>
      </c>
      <c r="L356" s="6">
        <f>FLOOR(VLOOKUP($D356,Sheet1!$D$5:$F$192,3,TRUE),1)</f>
        <v>4</v>
      </c>
      <c r="M356" s="42" t="str">
        <f>VLOOKUP($D356,Sheet1!$D$5:$F$192,2,TRUE)</f>
        <v>)|(</v>
      </c>
      <c r="N356" s="23">
        <f>FLOOR(VLOOKUP($D356,Sheet1!$G$5:$I$192,3,TRUE),1)</f>
        <v>5</v>
      </c>
      <c r="O356" s="42" t="str">
        <f>VLOOKUP($D356,Sheet1!$G$5:$I$192,2,TRUE)</f>
        <v>)|(</v>
      </c>
      <c r="P356" s="23">
        <v>1</v>
      </c>
      <c r="Q356" s="43" t="str">
        <f>VLOOKUP($D356,Sheet1!$J$5:$L$192,2,TRUE)</f>
        <v>)|(</v>
      </c>
      <c r="R356" s="23">
        <f>FLOOR(VLOOKUP($D356,Sheet1!$M$5:$O$192,3,TRUE),1)</f>
        <v>20</v>
      </c>
      <c r="S356" s="42" t="str">
        <f>VLOOKUP($D356,Sheet1!$M$5:$O$192,2,TRUE)</f>
        <v>)|(</v>
      </c>
      <c r="T356" s="117">
        <f>IF(ABS(D356-VLOOKUP($D356,Sheet1!$M$5:$T$192,8,TRUE))&lt;10^-10,"SoCA",D356-VLOOKUP($D356,Sheet1!$M$5:$T$192,8,TRUE))</f>
        <v>0.1182227704503962</v>
      </c>
      <c r="U356" s="109" t="str">
        <f>IF(VLOOKUP($D356,Sheet1!$M$5:$U$192,9,TRUE)=0,"",IF(ABS(D356-VLOOKUP($D356,Sheet1!$M$5:$U$192,9,TRUE))&lt;10^-10,"Alt.",D356-VLOOKUP($D356,Sheet1!$M$5:$U$192,9,TRUE)))</f>
        <v/>
      </c>
      <c r="V356" s="132">
        <f>$D356-Sheet1!$M$3*$R356</f>
        <v>4.7813794581372804E-2</v>
      </c>
      <c r="Z356" s="6"/>
      <c r="AA356" s="61"/>
    </row>
    <row r="357" spans="1:27" ht="13.5">
      <c r="A357" t="s">
        <v>1378</v>
      </c>
      <c r="B357">
        <v>1166400</v>
      </c>
      <c r="C357">
        <v>1173019</v>
      </c>
      <c r="D357" s="13">
        <f t="shared" si="9"/>
        <v>9.7965082338599139</v>
      </c>
      <c r="E357" s="61" t="s">
        <v>1931</v>
      </c>
      <c r="F357" s="65">
        <v>1407641.0233403149</v>
      </c>
      <c r="G357" s="6">
        <v>1291</v>
      </c>
      <c r="H357" s="6">
        <v>1227</v>
      </c>
      <c r="I357" s="65">
        <v>-6.6032067025814047</v>
      </c>
      <c r="J357" s="6">
        <f>VLOOKUP($D357,Sheet1!$A$5:$C$192,3,TRUE)</f>
        <v>2</v>
      </c>
      <c r="K357" s="42" t="str">
        <f>VLOOKUP($D357,Sheet1!$A$5:$C$192,2,TRUE)</f>
        <v>)|(</v>
      </c>
      <c r="L357" s="6">
        <f>FLOOR(VLOOKUP($D357,Sheet1!$D$5:$F$192,3,TRUE),1)</f>
        <v>4</v>
      </c>
      <c r="M357" s="42" t="str">
        <f>VLOOKUP($D357,Sheet1!$D$5:$F$192,2,TRUE)</f>
        <v>)|(</v>
      </c>
      <c r="N357" s="23">
        <f>FLOOR(VLOOKUP($D357,Sheet1!$G$5:$I$192,3,TRUE),1)</f>
        <v>5</v>
      </c>
      <c r="O357" s="42" t="str">
        <f>VLOOKUP($D357,Sheet1!$G$5:$I$192,2,TRUE)</f>
        <v>)|(</v>
      </c>
      <c r="P357" s="23">
        <v>1</v>
      </c>
      <c r="Q357" s="43" t="str">
        <f>VLOOKUP($D357,Sheet1!$J$5:$L$192,2,TRUE)</f>
        <v>)|(</v>
      </c>
      <c r="R357" s="23">
        <f>FLOOR(VLOOKUP($D357,Sheet1!$M$5:$O$192,3,TRUE),1)</f>
        <v>20</v>
      </c>
      <c r="S357" s="42" t="str">
        <f>VLOOKUP($D357,Sheet1!$M$5:$O$192,2,TRUE)</f>
        <v>)|(</v>
      </c>
      <c r="T357" s="117">
        <f>IF(ABS(D357-VLOOKUP($D357,Sheet1!$M$5:$T$192,8,TRUE))&lt;10^-10,"SoCA",D357-VLOOKUP($D357,Sheet1!$M$5:$T$192,8,TRUE))</f>
        <v>0.10854759104121747</v>
      </c>
      <c r="U357" s="109" t="str">
        <f>IF(VLOOKUP($D357,Sheet1!$M$5:$U$192,9,TRUE)=0,"",IF(ABS(D357-VLOOKUP($D357,Sheet1!$M$5:$U$192,9,TRUE))&lt;10^-10,"Alt.",D357-VLOOKUP($D357,Sheet1!$M$5:$U$192,9,TRUE)))</f>
        <v/>
      </c>
      <c r="V357" s="132">
        <f>$D357-Sheet1!$M$3*$R357</f>
        <v>3.8138615172194079E-2</v>
      </c>
      <c r="Z357" s="6"/>
      <c r="AA357" s="61"/>
    </row>
    <row r="358" spans="1:27" ht="13.5">
      <c r="A358" s="38" t="s">
        <v>553</v>
      </c>
      <c r="B358" s="38">
        <f>3^7</f>
        <v>2187</v>
      </c>
      <c r="C358" s="38">
        <f>2^3*5^2*11</f>
        <v>2200</v>
      </c>
      <c r="D358" s="13">
        <f t="shared" si="9"/>
        <v>10.260364036714352</v>
      </c>
      <c r="E358" s="61">
        <v>11</v>
      </c>
      <c r="F358" s="65">
        <v>36.426244089641898</v>
      </c>
      <c r="G358" s="6">
        <v>380</v>
      </c>
      <c r="H358" s="6">
        <v>397</v>
      </c>
      <c r="I358" s="65">
        <v>-7.6317679942818488</v>
      </c>
      <c r="J358" s="6">
        <f>VLOOKUP($D358,Sheet1!$A$5:$C$192,3,TRUE)</f>
        <v>2</v>
      </c>
      <c r="K358" s="42" t="str">
        <f>VLOOKUP($D358,Sheet1!$A$5:$C$192,2,TRUE)</f>
        <v>)|(</v>
      </c>
      <c r="L358" s="6">
        <f>FLOOR(VLOOKUP($D358,Sheet1!$D$5:$F$192,3,TRUE),1)</f>
        <v>4</v>
      </c>
      <c r="M358" s="42" t="str">
        <f>VLOOKUP($D358,Sheet1!$D$5:$F$192,2,TRUE)</f>
        <v>)|(</v>
      </c>
      <c r="N358" s="23">
        <f>FLOOR(VLOOKUP($D358,Sheet1!$G$5:$I$192,3,TRUE),1)</f>
        <v>5</v>
      </c>
      <c r="O358" s="42" t="str">
        <f>VLOOKUP($D358,Sheet1!$G$5:$I$192,2,TRUE)</f>
        <v>)|(</v>
      </c>
      <c r="P358" s="23">
        <v>1</v>
      </c>
      <c r="Q358" s="45" t="str">
        <f>VLOOKUP($D358,Sheet1!$J$5:$L$192,2,TRUE)</f>
        <v>)|('</v>
      </c>
      <c r="R358" s="38">
        <f>FLOOR(VLOOKUP($D358,Sheet1!$M$5:$O$192,3,TRUE),1)</f>
        <v>21</v>
      </c>
      <c r="S358" s="45" t="str">
        <f>VLOOKUP($D358,Sheet1!$M$5:$O$192,2,TRUE)</f>
        <v>)|('</v>
      </c>
      <c r="T358" s="108">
        <f>IF(ABS(D358-VLOOKUP($D358,Sheet1!$M$5:$T$192,8,TRUE))&lt;10^-10,"SoCA",D358-VLOOKUP($D358,Sheet1!$M$5:$T$192,8,TRUE))</f>
        <v>0.14968722794083078</v>
      </c>
      <c r="U358" s="108">
        <f>IF(VLOOKUP($D358,Sheet1!$M$5:$U$192,9,TRUE)=0,"",IF(ABS(D358-VLOOKUP($D358,Sheet1!$M$5:$U$192,9,TRUE))&lt;10^-10,"Alt.",D358-VLOOKUP($D358,Sheet1!$M$5:$U$192,9,TRUE)))</f>
        <v>0.17664752314326471</v>
      </c>
      <c r="V358" s="133">
        <f>$D358-Sheet1!$M$3*$R358</f>
        <v>1.4075937092247415E-2</v>
      </c>
      <c r="Z358" s="6"/>
      <c r="AA358" s="61"/>
    </row>
    <row r="359" spans="1:27" ht="13.5">
      <c r="A359" s="21" t="s">
        <v>339</v>
      </c>
      <c r="B359" s="21">
        <f>2^6*13</f>
        <v>832</v>
      </c>
      <c r="C359" s="21">
        <f>3^3*31</f>
        <v>837</v>
      </c>
      <c r="D359" s="13">
        <f t="shared" si="9"/>
        <v>10.372913291101971</v>
      </c>
      <c r="E359" s="61">
        <v>31</v>
      </c>
      <c r="F359" s="65">
        <v>44.138940921534662</v>
      </c>
      <c r="G359" s="6">
        <v>187</v>
      </c>
      <c r="H359" s="6">
        <v>173</v>
      </c>
      <c r="I359" s="65">
        <v>2.3613019380862479</v>
      </c>
      <c r="J359" s="6">
        <f>VLOOKUP($D359,Sheet1!$A$5:$C$192,3,TRUE)</f>
        <v>2</v>
      </c>
      <c r="K359" s="42" t="str">
        <f>VLOOKUP($D359,Sheet1!$A$5:$C$192,2,TRUE)</f>
        <v>)|(</v>
      </c>
      <c r="L359" s="6">
        <f>FLOOR(VLOOKUP($D359,Sheet1!$D$5:$F$192,3,TRUE),1)</f>
        <v>4</v>
      </c>
      <c r="M359" s="42" t="str">
        <f>VLOOKUP($D359,Sheet1!$D$5:$F$192,2,TRUE)</f>
        <v>)|(</v>
      </c>
      <c r="N359" s="23">
        <f>FLOOR(VLOOKUP($D359,Sheet1!$G$5:$I$192,3,TRUE),1)</f>
        <v>5</v>
      </c>
      <c r="O359" s="42" t="str">
        <f>VLOOKUP($D359,Sheet1!$G$5:$I$192,2,TRUE)</f>
        <v>)|(</v>
      </c>
      <c r="P359" s="23">
        <v>1</v>
      </c>
      <c r="Q359" s="43" t="str">
        <f>VLOOKUP($D359,Sheet1!$J$5:$L$192,2,TRUE)</f>
        <v>)|('</v>
      </c>
      <c r="R359" s="23">
        <f>FLOOR(VLOOKUP($D359,Sheet1!$M$5:$O$192,3,TRUE),1)</f>
        <v>21</v>
      </c>
      <c r="S359" s="43" t="str">
        <f>VLOOKUP($D359,Sheet1!$M$5:$O$192,2,TRUE)</f>
        <v>)|('</v>
      </c>
      <c r="T359" s="117">
        <f>IF(ABS(D359-VLOOKUP($D359,Sheet1!$M$5:$T$192,8,TRUE))&lt;10^-10,"SoCA",D359-VLOOKUP($D359,Sheet1!$M$5:$T$192,8,TRUE))</f>
        <v>0.26223648232845065</v>
      </c>
      <c r="U359" s="109">
        <f>IF(VLOOKUP($D359,Sheet1!$M$5:$U$192,9,TRUE)=0,"",IF(ABS(D359-VLOOKUP($D359,Sheet1!$M$5:$U$192,9,TRUE))&lt;10^-10,"Alt.",D359-VLOOKUP($D359,Sheet1!$M$5:$U$192,9,TRUE)))</f>
        <v>0.28919677753088457</v>
      </c>
      <c r="V359" s="132">
        <f>$D359-Sheet1!$M$3*$R359</f>
        <v>0.12662519147986728</v>
      </c>
      <c r="Z359" s="6"/>
      <c r="AA359" s="61"/>
    </row>
    <row r="360" spans="1:27" ht="13.5">
      <c r="A360" s="23" t="s">
        <v>570</v>
      </c>
      <c r="B360" s="23">
        <f>3^6*5*11*13</f>
        <v>521235</v>
      </c>
      <c r="C360" s="23">
        <f>2^19</f>
        <v>524288</v>
      </c>
      <c r="D360" s="13">
        <f t="shared" si="9"/>
        <v>10.110676808773535</v>
      </c>
      <c r="E360" s="61">
        <v>13</v>
      </c>
      <c r="F360" s="65">
        <v>47.941658580123182</v>
      </c>
      <c r="G360" s="6">
        <v>410</v>
      </c>
      <c r="H360" s="6">
        <v>414</v>
      </c>
      <c r="I360" s="65">
        <v>-6.6225512063172705</v>
      </c>
      <c r="J360" s="6">
        <f>VLOOKUP($D360,Sheet1!$A$5:$C$192,3,TRUE)</f>
        <v>2</v>
      </c>
      <c r="K360" s="42" t="str">
        <f>VLOOKUP($D360,Sheet1!$A$5:$C$192,2,TRUE)</f>
        <v>)|(</v>
      </c>
      <c r="L360" s="6">
        <f>FLOOR(VLOOKUP($D360,Sheet1!$D$5:$F$192,3,TRUE),1)</f>
        <v>4</v>
      </c>
      <c r="M360" s="42" t="str">
        <f>VLOOKUP($D360,Sheet1!$D$5:$F$192,2,TRUE)</f>
        <v>)|(</v>
      </c>
      <c r="N360" s="23">
        <f>FLOOR(VLOOKUP($D360,Sheet1!$G$5:$I$192,3,TRUE),1)</f>
        <v>5</v>
      </c>
      <c r="O360" s="42" t="str">
        <f>VLOOKUP($D360,Sheet1!$G$5:$I$192,2,TRUE)</f>
        <v>)|(</v>
      </c>
      <c r="P360" s="23">
        <v>1</v>
      </c>
      <c r="Q360" s="43" t="str">
        <f>VLOOKUP($D360,Sheet1!$J$5:$L$192,2,TRUE)</f>
        <v>)|('</v>
      </c>
      <c r="R360" s="23">
        <f>FLOOR(VLOOKUP($D360,Sheet1!$M$5:$O$192,3,TRUE),1)</f>
        <v>21</v>
      </c>
      <c r="S360" s="43" t="str">
        <f>VLOOKUP($D360,Sheet1!$M$5:$O$192,2,TRUE)</f>
        <v>)|('</v>
      </c>
      <c r="T360" s="117" t="str">
        <f>IF(ABS(D360-VLOOKUP($D360,Sheet1!$M$5:$T$192,8,TRUE))&lt;10^-10,"SoCA",D360-VLOOKUP($D360,Sheet1!$M$5:$T$192,8,TRUE))</f>
        <v>SoCA</v>
      </c>
      <c r="U360" s="117">
        <f>IF(VLOOKUP($D360,Sheet1!$M$5:$U$192,9,TRUE)=0,"",IF(ABS(D360-VLOOKUP($D360,Sheet1!$M$5:$U$192,9,TRUE))&lt;10^-10,"Alt.",D360-VLOOKUP($D360,Sheet1!$M$5:$U$192,9,TRUE)))</f>
        <v>2.6960295202448137E-2</v>
      </c>
      <c r="V360" s="134">
        <f>$D360-Sheet1!$M$3*$R360</f>
        <v>-0.13561129084856915</v>
      </c>
      <c r="Z360" s="6"/>
      <c r="AA360" s="61"/>
    </row>
    <row r="361" spans="1:27" ht="13.5">
      <c r="A361" t="s">
        <v>856</v>
      </c>
      <c r="B361">
        <v>170</v>
      </c>
      <c r="C361">
        <v>171</v>
      </c>
      <c r="D361" s="13">
        <f t="shared" si="9"/>
        <v>10.153894497835285</v>
      </c>
      <c r="E361" s="61">
        <v>19</v>
      </c>
      <c r="F361" s="65">
        <v>49.268497409976945</v>
      </c>
      <c r="G361" s="6">
        <v>756</v>
      </c>
      <c r="H361" s="6">
        <v>703</v>
      </c>
      <c r="I361" s="65">
        <v>1.3747877231165841</v>
      </c>
      <c r="J361" s="6">
        <f>VLOOKUP($D361,Sheet1!$A$5:$C$192,3,TRUE)</f>
        <v>2</v>
      </c>
      <c r="K361" s="42" t="str">
        <f>VLOOKUP($D361,Sheet1!$A$5:$C$192,2,TRUE)</f>
        <v>)|(</v>
      </c>
      <c r="L361" s="6">
        <f>FLOOR(VLOOKUP($D361,Sheet1!$D$5:$F$192,3,TRUE),1)</f>
        <v>4</v>
      </c>
      <c r="M361" s="42" t="str">
        <f>VLOOKUP($D361,Sheet1!$D$5:$F$192,2,TRUE)</f>
        <v>)|(</v>
      </c>
      <c r="N361" s="23">
        <f>FLOOR(VLOOKUP($D361,Sheet1!$G$5:$I$192,3,TRUE),1)</f>
        <v>5</v>
      </c>
      <c r="O361" s="42" t="str">
        <f>VLOOKUP($D361,Sheet1!$G$5:$I$192,2,TRUE)</f>
        <v>)|(</v>
      </c>
      <c r="P361" s="23">
        <v>1</v>
      </c>
      <c r="Q361" s="43" t="str">
        <f>VLOOKUP($D361,Sheet1!$J$5:$L$192,2,TRUE)</f>
        <v>)|('</v>
      </c>
      <c r="R361" s="23">
        <f>FLOOR(VLOOKUP($D361,Sheet1!$M$5:$O$192,3,TRUE),1)</f>
        <v>21</v>
      </c>
      <c r="S361" s="42" t="str">
        <f>VLOOKUP($D361,Sheet1!$M$5:$O$192,2,TRUE)</f>
        <v>)|('</v>
      </c>
      <c r="T361" s="117">
        <f>IF(ABS(D361-VLOOKUP($D361,Sheet1!$M$5:$T$192,8,TRUE))&lt;10^-10,"SoCA",D361-VLOOKUP($D361,Sheet1!$M$5:$T$192,8,TRUE))</f>
        <v>4.3217689061764375E-2</v>
      </c>
      <c r="U361" s="109">
        <f>IF(VLOOKUP($D361,Sheet1!$M$5:$U$192,9,TRUE)=0,"",IF(ABS(D361-VLOOKUP($D361,Sheet1!$M$5:$U$192,9,TRUE))&lt;10^-10,"Alt.",D361-VLOOKUP($D361,Sheet1!$M$5:$U$192,9,TRUE)))</f>
        <v>7.0177984264198301E-2</v>
      </c>
      <c r="V361" s="132">
        <f>$D361-Sheet1!$M$3*$R361</f>
        <v>-9.2393601786818991E-2</v>
      </c>
      <c r="Z361" s="6"/>
      <c r="AA361" s="61"/>
    </row>
    <row r="362" spans="1:27" ht="13.5">
      <c r="A362" t="s">
        <v>753</v>
      </c>
      <c r="B362">
        <v>47104</v>
      </c>
      <c r="C362">
        <v>47385</v>
      </c>
      <c r="D362" s="13">
        <f t="shared" si="9"/>
        <v>10.297033558054604</v>
      </c>
      <c r="E362" s="61">
        <v>23</v>
      </c>
      <c r="F362" s="65">
        <v>50.293333154236336</v>
      </c>
      <c r="G362" s="6">
        <v>623</v>
      </c>
      <c r="H362" s="6">
        <v>598</v>
      </c>
      <c r="I362" s="65">
        <v>5.3659741296948926</v>
      </c>
      <c r="J362" s="6">
        <f>VLOOKUP($D362,Sheet1!$A$5:$C$192,3,TRUE)</f>
        <v>2</v>
      </c>
      <c r="K362" s="42" t="str">
        <f>VLOOKUP($D362,Sheet1!$A$5:$C$192,2,TRUE)</f>
        <v>)|(</v>
      </c>
      <c r="L362" s="6">
        <f>FLOOR(VLOOKUP($D362,Sheet1!$D$5:$F$192,3,TRUE),1)</f>
        <v>4</v>
      </c>
      <c r="M362" s="42" t="str">
        <f>VLOOKUP($D362,Sheet1!$D$5:$F$192,2,TRUE)</f>
        <v>)|(</v>
      </c>
      <c r="N362" s="23">
        <f>FLOOR(VLOOKUP($D362,Sheet1!$G$5:$I$192,3,TRUE),1)</f>
        <v>5</v>
      </c>
      <c r="O362" s="42" t="str">
        <f>VLOOKUP($D362,Sheet1!$G$5:$I$192,2,TRUE)</f>
        <v>)|(</v>
      </c>
      <c r="P362" s="23">
        <v>1</v>
      </c>
      <c r="Q362" s="43" t="str">
        <f>VLOOKUP($D362,Sheet1!$J$5:$L$192,2,TRUE)</f>
        <v>)|('</v>
      </c>
      <c r="R362" s="23">
        <f>FLOOR(VLOOKUP($D362,Sheet1!$M$5:$O$192,3,TRUE),1)</f>
        <v>21</v>
      </c>
      <c r="S362" s="42" t="str">
        <f>VLOOKUP($D362,Sheet1!$M$5:$O$192,2,TRUE)</f>
        <v>)|('</v>
      </c>
      <c r="T362" s="117">
        <f>IF(ABS(D362-VLOOKUP($D362,Sheet1!$M$5:$T$192,8,TRUE))&lt;10^-10,"SoCA",D362-VLOOKUP($D362,Sheet1!$M$5:$T$192,8,TRUE))</f>
        <v>0.18635674928108337</v>
      </c>
      <c r="U362" s="109">
        <f>IF(VLOOKUP($D362,Sheet1!$M$5:$U$192,9,TRUE)=0,"",IF(ABS(D362-VLOOKUP($D362,Sheet1!$M$5:$U$192,9,TRUE))&lt;10^-10,"Alt.",D362-VLOOKUP($D362,Sheet1!$M$5:$U$192,9,TRUE)))</f>
        <v>0.21331704448351729</v>
      </c>
      <c r="V362" s="132">
        <f>$D362-Sheet1!$M$3*$R362</f>
        <v>5.0745458432500001E-2</v>
      </c>
      <c r="Z362" s="6"/>
      <c r="AA362" s="61"/>
    </row>
    <row r="363" spans="1:27" ht="13.5">
      <c r="A363" t="s">
        <v>1479</v>
      </c>
      <c r="B363">
        <v>2036097</v>
      </c>
      <c r="C363">
        <v>2048000</v>
      </c>
      <c r="D363" s="13">
        <f t="shared" si="9"/>
        <v>10.09130646624013</v>
      </c>
      <c r="E363" s="61">
        <v>19</v>
      </c>
      <c r="F363" s="65">
        <v>51.510777450362156</v>
      </c>
      <c r="G363" s="6">
        <v>1389</v>
      </c>
      <c r="H363" s="6">
        <v>1328</v>
      </c>
      <c r="I363" s="65">
        <v>-7.6213585037574889</v>
      </c>
      <c r="J363" s="6">
        <f>VLOOKUP($D363,Sheet1!$A$5:$C$192,3,TRUE)</f>
        <v>2</v>
      </c>
      <c r="K363" s="42" t="str">
        <f>VLOOKUP($D363,Sheet1!$A$5:$C$192,2,TRUE)</f>
        <v>)|(</v>
      </c>
      <c r="L363" s="6">
        <f>FLOOR(VLOOKUP($D363,Sheet1!$D$5:$F$192,3,TRUE),1)</f>
        <v>4</v>
      </c>
      <c r="M363" s="42" t="str">
        <f>VLOOKUP($D363,Sheet1!$D$5:$F$192,2,TRUE)</f>
        <v>)|(</v>
      </c>
      <c r="N363" s="23">
        <f>FLOOR(VLOOKUP($D363,Sheet1!$G$5:$I$192,3,TRUE),1)</f>
        <v>5</v>
      </c>
      <c r="O363" s="42" t="str">
        <f>VLOOKUP($D363,Sheet1!$G$5:$I$192,2,TRUE)</f>
        <v>)|(</v>
      </c>
      <c r="P363" s="23">
        <v>1</v>
      </c>
      <c r="Q363" s="43" t="str">
        <f>VLOOKUP($D363,Sheet1!$J$5:$L$192,2,TRUE)</f>
        <v>)|('</v>
      </c>
      <c r="R363" s="23">
        <f>FLOOR(VLOOKUP($D363,Sheet1!$M$5:$O$192,3,TRUE),1)</f>
        <v>21</v>
      </c>
      <c r="S363" s="42" t="str">
        <f>VLOOKUP($D363,Sheet1!$M$5:$O$192,2,TRUE)</f>
        <v>)|('</v>
      </c>
      <c r="T363" s="117">
        <f>IF(ABS(D363-VLOOKUP($D363,Sheet1!$M$5:$T$192,8,TRUE))&lt;10^-10,"SoCA",D363-VLOOKUP($D363,Sheet1!$M$5:$T$192,8,TRUE))</f>
        <v>-1.9370342533390428E-2</v>
      </c>
      <c r="U363" s="109">
        <f>IF(VLOOKUP($D363,Sheet1!$M$5:$U$192,9,TRUE)=0,"",IF(ABS(D363-VLOOKUP($D363,Sheet1!$M$5:$U$192,9,TRUE))&lt;10^-10,"Alt.",D363-VLOOKUP($D363,Sheet1!$M$5:$U$192,9,TRUE)))</f>
        <v>7.5899526690434982E-3</v>
      </c>
      <c r="V363" s="132">
        <f>$D363-Sheet1!$M$3*$R363</f>
        <v>-0.15498163338197379</v>
      </c>
      <c r="Z363" s="6"/>
      <c r="AA363" s="61"/>
    </row>
    <row r="364" spans="1:27" ht="13.5">
      <c r="A364" s="6" t="s">
        <v>404</v>
      </c>
      <c r="B364" s="18">
        <f>2^25</f>
        <v>33554432</v>
      </c>
      <c r="C364" s="18">
        <f>3^9*5*7^3</f>
        <v>33756345</v>
      </c>
      <c r="D364" s="13">
        <f t="shared" si="9"/>
        <v>10.386441060696365</v>
      </c>
      <c r="E364" s="61">
        <v>7</v>
      </c>
      <c r="F364" s="65">
        <v>54.537471432591232</v>
      </c>
      <c r="G364" s="6">
        <v>206</v>
      </c>
      <c r="H364" s="6">
        <v>241</v>
      </c>
      <c r="I364" s="65">
        <v>8.3604689840279729</v>
      </c>
      <c r="J364" s="6">
        <f>VLOOKUP($D364,Sheet1!$A$5:$C$192,3,TRUE)</f>
        <v>2</v>
      </c>
      <c r="K364" s="42" t="str">
        <f>VLOOKUP($D364,Sheet1!$A$5:$C$192,2,TRUE)</f>
        <v>)|(</v>
      </c>
      <c r="L364" s="6">
        <f>FLOOR(VLOOKUP($D364,Sheet1!$D$5:$F$192,3,TRUE),1)</f>
        <v>4</v>
      </c>
      <c r="M364" s="42" t="str">
        <f>VLOOKUP($D364,Sheet1!$D$5:$F$192,2,TRUE)</f>
        <v>)|(</v>
      </c>
      <c r="N364" s="23">
        <f>FLOOR(VLOOKUP($D364,Sheet1!$G$5:$I$192,3,TRUE),1)</f>
        <v>5</v>
      </c>
      <c r="O364" s="42" t="str">
        <f>VLOOKUP($D364,Sheet1!$G$5:$I$192,2,TRUE)</f>
        <v>)|(</v>
      </c>
      <c r="P364" s="23">
        <v>1</v>
      </c>
      <c r="Q364" s="43" t="str">
        <f>VLOOKUP($D364,Sheet1!$J$5:$L$192,2,TRUE)</f>
        <v>)|('</v>
      </c>
      <c r="R364" s="23">
        <f>FLOOR(VLOOKUP($D364,Sheet1!$M$5:$O$192,3,TRUE),1)</f>
        <v>21</v>
      </c>
      <c r="S364" s="42" t="str">
        <f>VLOOKUP($D364,Sheet1!$M$5:$O$192,2,TRUE)</f>
        <v>)|('</v>
      </c>
      <c r="T364" s="117">
        <f>IF(ABS(D364-VLOOKUP($D364,Sheet1!$M$5:$T$192,8,TRUE))&lt;10^-10,"SoCA",D364-VLOOKUP($D364,Sheet1!$M$5:$T$192,8,TRUE))</f>
        <v>0.27576425192284404</v>
      </c>
      <c r="U364" s="109">
        <f>IF(VLOOKUP($D364,Sheet1!$M$5:$U$192,9,TRUE)=0,"",IF(ABS(D364-VLOOKUP($D364,Sheet1!$M$5:$U$192,9,TRUE))&lt;10^-10,"Alt.",D364-VLOOKUP($D364,Sheet1!$M$5:$U$192,9,TRUE)))</f>
        <v>0.30272454712527797</v>
      </c>
      <c r="V364" s="132">
        <f>$D364-Sheet1!$M$3*$R364</f>
        <v>0.14015296107426067</v>
      </c>
      <c r="Z364" s="6"/>
      <c r="AA364" s="61"/>
    </row>
    <row r="365" spans="1:27" ht="13.5">
      <c r="A365" s="6" t="s">
        <v>1801</v>
      </c>
      <c r="B365" s="6">
        <f>3^10</f>
        <v>59049</v>
      </c>
      <c r="C365" s="6">
        <f>2^11*29</f>
        <v>59392</v>
      </c>
      <c r="D365" s="13">
        <f t="shared" si="9"/>
        <v>10.027185499212401</v>
      </c>
      <c r="E365" s="61">
        <v>29</v>
      </c>
      <c r="F365" s="65">
        <v>59.413346265406474</v>
      </c>
      <c r="G365" s="59">
        <v>193</v>
      </c>
      <c r="H365" s="63">
        <v>1000006</v>
      </c>
      <c r="I365" s="65">
        <v>-10.617410342212191</v>
      </c>
      <c r="J365" s="6">
        <f>VLOOKUP($D365,Sheet1!$A$5:$C$192,3,TRUE)</f>
        <v>2</v>
      </c>
      <c r="K365" s="42" t="str">
        <f>VLOOKUP($D365,Sheet1!$A$5:$C$192,2,TRUE)</f>
        <v>)|(</v>
      </c>
      <c r="L365" s="6">
        <f>FLOOR(VLOOKUP($D365,Sheet1!$D$5:$F$192,3,TRUE),1)</f>
        <v>4</v>
      </c>
      <c r="M365" s="42" t="str">
        <f>VLOOKUP($D365,Sheet1!$D$5:$F$192,2,TRUE)</f>
        <v>)|(</v>
      </c>
      <c r="N365" s="23">
        <f>FLOOR(VLOOKUP($D365,Sheet1!$G$5:$I$192,3,TRUE),1)</f>
        <v>5</v>
      </c>
      <c r="O365" s="42" t="str">
        <f>VLOOKUP($D365,Sheet1!$G$5:$I$192,2,TRUE)</f>
        <v>)|(</v>
      </c>
      <c r="P365" s="23">
        <v>1</v>
      </c>
      <c r="Q365" s="43" t="str">
        <f>VLOOKUP($D365,Sheet1!$J$5:$L$192,2,TRUE)</f>
        <v>)|('</v>
      </c>
      <c r="R365" s="23">
        <f>FLOOR(VLOOKUP($D365,Sheet1!$M$5:$O$192,3,TRUE),1)</f>
        <v>21</v>
      </c>
      <c r="S365" s="42" t="str">
        <f>VLOOKUP($D365,Sheet1!$M$5:$O$192,2,TRUE)</f>
        <v>)|('</v>
      </c>
      <c r="T365" s="117">
        <f>IF(ABS(D365-VLOOKUP($D365,Sheet1!$M$5:$T$192,8,TRUE))&lt;10^-10,"SoCA",D365-VLOOKUP($D365,Sheet1!$M$5:$T$192,8,TRUE))</f>
        <v>-8.3491309561120275E-2</v>
      </c>
      <c r="U365" s="109">
        <f>IF(VLOOKUP($D365,Sheet1!$M$5:$U$192,9,TRUE)=0,"",IF(ABS(D365-VLOOKUP($D365,Sheet1!$M$5:$U$192,9,TRUE))&lt;10^-10,"Alt.",D365-VLOOKUP($D365,Sheet1!$M$5:$U$192,9,TRUE)))</f>
        <v>-5.6531014358686349E-2</v>
      </c>
      <c r="V365" s="132">
        <f>$D365-Sheet1!$M$3*$R365</f>
        <v>-0.21910260040970364</v>
      </c>
      <c r="Z365" s="6"/>
      <c r="AA365" s="61"/>
    </row>
    <row r="366" spans="1:27" ht="13.5">
      <c r="A366" t="s">
        <v>646</v>
      </c>
      <c r="B366">
        <v>171</v>
      </c>
      <c r="C366">
        <v>172</v>
      </c>
      <c r="D366" s="13">
        <f t="shared" si="9"/>
        <v>10.094687779440003</v>
      </c>
      <c r="E366" s="61">
        <v>43</v>
      </c>
      <c r="F366" s="65">
        <v>62.116645131610518</v>
      </c>
      <c r="G366" s="6">
        <v>540</v>
      </c>
      <c r="H366" s="6">
        <v>491</v>
      </c>
      <c r="I366" s="65">
        <v>-2.6215667035299992</v>
      </c>
      <c r="J366" s="6">
        <f>VLOOKUP($D366,Sheet1!$A$5:$C$192,3,TRUE)</f>
        <v>2</v>
      </c>
      <c r="K366" s="42" t="str">
        <f>VLOOKUP($D366,Sheet1!$A$5:$C$192,2,TRUE)</f>
        <v>)|(</v>
      </c>
      <c r="L366" s="6">
        <f>FLOOR(VLOOKUP($D366,Sheet1!$D$5:$F$192,3,TRUE),1)</f>
        <v>4</v>
      </c>
      <c r="M366" s="42" t="str">
        <f>VLOOKUP($D366,Sheet1!$D$5:$F$192,2,TRUE)</f>
        <v>)|(</v>
      </c>
      <c r="N366" s="23">
        <f>FLOOR(VLOOKUP($D366,Sheet1!$G$5:$I$192,3,TRUE),1)</f>
        <v>5</v>
      </c>
      <c r="O366" s="42" t="str">
        <f>VLOOKUP($D366,Sheet1!$G$5:$I$192,2,TRUE)</f>
        <v>)|(</v>
      </c>
      <c r="P366" s="23">
        <v>1</v>
      </c>
      <c r="Q366" s="43" t="str">
        <f>VLOOKUP($D366,Sheet1!$J$5:$L$192,2,TRUE)</f>
        <v>)|('</v>
      </c>
      <c r="R366" s="23">
        <f>FLOOR(VLOOKUP($D366,Sheet1!$M$5:$O$192,3,TRUE),1)</f>
        <v>21</v>
      </c>
      <c r="S366" s="42" t="str">
        <f>VLOOKUP($D366,Sheet1!$M$5:$O$192,2,TRUE)</f>
        <v>)|('</v>
      </c>
      <c r="T366" s="117">
        <f>IF(ABS(D366-VLOOKUP($D366,Sheet1!$M$5:$T$192,8,TRUE))&lt;10^-10,"SoCA",D366-VLOOKUP($D366,Sheet1!$M$5:$T$192,8,TRUE))</f>
        <v>-1.598902933351809E-2</v>
      </c>
      <c r="U366" s="109">
        <f>IF(VLOOKUP($D366,Sheet1!$M$5:$U$192,9,TRUE)=0,"",IF(ABS(D366-VLOOKUP($D366,Sheet1!$M$5:$U$192,9,TRUE))&lt;10^-10,"Alt.",D366-VLOOKUP($D366,Sheet1!$M$5:$U$192,9,TRUE)))</f>
        <v>1.0971265868915836E-2</v>
      </c>
      <c r="V366" s="132">
        <f>$D366-Sheet1!$M$3*$R366</f>
        <v>-0.15160032018210146</v>
      </c>
      <c r="Z366" s="6"/>
      <c r="AA366" s="61"/>
    </row>
    <row r="367" spans="1:27" ht="13.5">
      <c r="A367" s="21" t="s">
        <v>45</v>
      </c>
      <c r="B367" s="17">
        <f>2^21</f>
        <v>2097152</v>
      </c>
      <c r="C367" s="17">
        <f>3^3*5^7</f>
        <v>2109375</v>
      </c>
      <c r="D367" s="13">
        <f t="shared" si="9"/>
        <v>10.060999650005975</v>
      </c>
      <c r="E367" s="61">
        <v>5</v>
      </c>
      <c r="F367" s="65">
        <v>84.131726569162495</v>
      </c>
      <c r="G367" s="6">
        <v>151</v>
      </c>
      <c r="H367" s="6">
        <v>138</v>
      </c>
      <c r="I367" s="65">
        <v>2.3805075973317913</v>
      </c>
      <c r="J367" s="6">
        <f>VLOOKUP($D367,Sheet1!$A$5:$C$192,3,TRUE)</f>
        <v>2</v>
      </c>
      <c r="K367" s="42" t="str">
        <f>VLOOKUP($D367,Sheet1!$A$5:$C$192,2,TRUE)</f>
        <v>)|(</v>
      </c>
      <c r="L367" s="6">
        <f>FLOOR(VLOOKUP($D367,Sheet1!$D$5:$F$192,3,TRUE),1)</f>
        <v>4</v>
      </c>
      <c r="M367" s="42" t="str">
        <f>VLOOKUP($D367,Sheet1!$D$5:$F$192,2,TRUE)</f>
        <v>)|(</v>
      </c>
      <c r="N367" s="23">
        <f>FLOOR(VLOOKUP($D367,Sheet1!$G$5:$I$192,3,TRUE),1)</f>
        <v>5</v>
      </c>
      <c r="O367" s="42" t="str">
        <f>VLOOKUP($D367,Sheet1!$G$5:$I$192,2,TRUE)</f>
        <v>)|(</v>
      </c>
      <c r="P367" s="23">
        <v>1</v>
      </c>
      <c r="Q367" s="43" t="str">
        <f>VLOOKUP($D367,Sheet1!$J$5:$L$192,2,TRUE)</f>
        <v>)|('</v>
      </c>
      <c r="R367" s="23">
        <f>FLOOR(VLOOKUP($D367,Sheet1!$M$5:$O$192,3,TRUE),1)</f>
        <v>21</v>
      </c>
      <c r="S367" s="43" t="str">
        <f>VLOOKUP($D367,Sheet1!$M$5:$O$192,2,TRUE)</f>
        <v>)|('</v>
      </c>
      <c r="T367" s="117">
        <f>IF(ABS(D367-VLOOKUP($D367,Sheet1!$M$5:$T$192,8,TRUE))&lt;10^-10,"SoCA",D367-VLOOKUP($D367,Sheet1!$M$5:$T$192,8,TRUE))</f>
        <v>-4.9677158767545748E-2</v>
      </c>
      <c r="U367" s="109">
        <f>IF(VLOOKUP($D367,Sheet1!$M$5:$U$192,9,TRUE)=0,"",IF(ABS(D367-VLOOKUP($D367,Sheet1!$M$5:$U$192,9,TRUE))&lt;10^-10,"Alt.",D367-VLOOKUP($D367,Sheet1!$M$5:$U$192,9,TRUE)))</f>
        <v>-2.2716863565111822E-2</v>
      </c>
      <c r="V367" s="132">
        <f>$D367-Sheet1!$M$3*$R367</f>
        <v>-0.18528844961612911</v>
      </c>
      <c r="Z367" s="6"/>
      <c r="AA367" s="61"/>
    </row>
    <row r="368" spans="1:27" ht="13.5">
      <c r="A368" t="s">
        <v>988</v>
      </c>
      <c r="B368">
        <v>1845</v>
      </c>
      <c r="C368">
        <v>1856</v>
      </c>
      <c r="D368" s="13">
        <f t="shared" si="9"/>
        <v>10.291073015776554</v>
      </c>
      <c r="E368" s="61">
        <v>41</v>
      </c>
      <c r="F368" s="65">
        <v>90.122453182908473</v>
      </c>
      <c r="G368" s="6">
        <v>902</v>
      </c>
      <c r="H368" s="6">
        <v>836</v>
      </c>
      <c r="I368" s="65">
        <v>-2.6336588580016103</v>
      </c>
      <c r="J368" s="6">
        <f>VLOOKUP($D368,Sheet1!$A$5:$C$192,3,TRUE)</f>
        <v>2</v>
      </c>
      <c r="K368" s="42" t="str">
        <f>VLOOKUP($D368,Sheet1!$A$5:$C$192,2,TRUE)</f>
        <v>)|(</v>
      </c>
      <c r="L368" s="6">
        <f>FLOOR(VLOOKUP($D368,Sheet1!$D$5:$F$192,3,TRUE),1)</f>
        <v>4</v>
      </c>
      <c r="M368" s="42" t="str">
        <f>VLOOKUP($D368,Sheet1!$D$5:$F$192,2,TRUE)</f>
        <v>)|(</v>
      </c>
      <c r="N368" s="23">
        <f>FLOOR(VLOOKUP($D368,Sheet1!$G$5:$I$192,3,TRUE),1)</f>
        <v>5</v>
      </c>
      <c r="O368" s="42" t="str">
        <f>VLOOKUP($D368,Sheet1!$G$5:$I$192,2,TRUE)</f>
        <v>)|(</v>
      </c>
      <c r="P368" s="23">
        <v>1</v>
      </c>
      <c r="Q368" s="43" t="str">
        <f>VLOOKUP($D368,Sheet1!$J$5:$L$192,2,TRUE)</f>
        <v>)|('</v>
      </c>
      <c r="R368" s="23">
        <f>FLOOR(VLOOKUP($D368,Sheet1!$M$5:$O$192,3,TRUE),1)</f>
        <v>21</v>
      </c>
      <c r="S368" s="42" t="str">
        <f>VLOOKUP($D368,Sheet1!$M$5:$O$192,2,TRUE)</f>
        <v>)|('</v>
      </c>
      <c r="T368" s="117">
        <f>IF(ABS(D368-VLOOKUP($D368,Sheet1!$M$5:$T$192,8,TRUE))&lt;10^-10,"SoCA",D368-VLOOKUP($D368,Sheet1!$M$5:$T$192,8,TRUE))</f>
        <v>0.18039620700303338</v>
      </c>
      <c r="U368" s="109">
        <f>IF(VLOOKUP($D368,Sheet1!$M$5:$U$192,9,TRUE)=0,"",IF(ABS(D368-VLOOKUP($D368,Sheet1!$M$5:$U$192,9,TRUE))&lt;10^-10,"Alt.",D368-VLOOKUP($D368,Sheet1!$M$5:$U$192,9,TRUE)))</f>
        <v>0.20735650220546731</v>
      </c>
      <c r="V368" s="132">
        <f>$D368-Sheet1!$M$3*$R368</f>
        <v>4.4784916154450016E-2</v>
      </c>
      <c r="Z368" s="6"/>
      <c r="AA368" s="61"/>
    </row>
    <row r="369" spans="1:27" ht="13.5">
      <c r="A369" t="s">
        <v>1003</v>
      </c>
      <c r="B369">
        <v>26973</v>
      </c>
      <c r="C369">
        <v>27136</v>
      </c>
      <c r="D369" s="13">
        <f t="shared" si="9"/>
        <v>10.430501528774897</v>
      </c>
      <c r="E369" s="61" t="s">
        <v>1931</v>
      </c>
      <c r="F369" s="65">
        <v>92.046931327597378</v>
      </c>
      <c r="G369" s="6">
        <v>736</v>
      </c>
      <c r="H369" s="6">
        <v>851</v>
      </c>
      <c r="I369" s="65">
        <v>-6.6422439795126467</v>
      </c>
      <c r="J369" s="6">
        <f>VLOOKUP($D369,Sheet1!$A$5:$C$192,3,TRUE)</f>
        <v>2</v>
      </c>
      <c r="K369" s="42" t="str">
        <f>VLOOKUP($D369,Sheet1!$A$5:$C$192,2,TRUE)</f>
        <v>)|(</v>
      </c>
      <c r="L369" s="6">
        <f>FLOOR(VLOOKUP($D369,Sheet1!$D$5:$F$192,3,TRUE),1)</f>
        <v>4</v>
      </c>
      <c r="M369" s="42" t="str">
        <f>VLOOKUP($D369,Sheet1!$D$5:$F$192,2,TRUE)</f>
        <v>)|(</v>
      </c>
      <c r="N369" s="23">
        <f>FLOOR(VLOOKUP($D369,Sheet1!$G$5:$I$192,3,TRUE),1)</f>
        <v>5</v>
      </c>
      <c r="O369" s="42" t="str">
        <f>VLOOKUP($D369,Sheet1!$G$5:$I$192,2,TRUE)</f>
        <v>)|(</v>
      </c>
      <c r="P369" s="23">
        <v>1</v>
      </c>
      <c r="Q369" s="43" t="str">
        <f>VLOOKUP($D369,Sheet1!$J$5:$L$192,2,TRUE)</f>
        <v>)|('</v>
      </c>
      <c r="R369" s="23">
        <f>FLOOR(VLOOKUP($D369,Sheet1!$M$5:$O$192,3,TRUE),1)</f>
        <v>21</v>
      </c>
      <c r="S369" s="42" t="str">
        <f>VLOOKUP($D369,Sheet1!$M$5:$O$192,2,TRUE)</f>
        <v>)|('</v>
      </c>
      <c r="T369" s="117">
        <f>IF(ABS(D369-VLOOKUP($D369,Sheet1!$M$5:$T$192,8,TRUE))&lt;10^-10,"SoCA",D369-VLOOKUP($D369,Sheet1!$M$5:$T$192,8,TRUE))</f>
        <v>0.31982472000137641</v>
      </c>
      <c r="U369" s="109">
        <f>IF(VLOOKUP($D369,Sheet1!$M$5:$U$192,9,TRUE)=0,"",IF(ABS(D369-VLOOKUP($D369,Sheet1!$M$5:$U$192,9,TRUE))&lt;10^-10,"Alt.",D369-VLOOKUP($D369,Sheet1!$M$5:$U$192,9,TRUE)))</f>
        <v>0.34678501520381033</v>
      </c>
      <c r="V369" s="132">
        <f>$D369-Sheet1!$M$3*$R369</f>
        <v>0.18421342915279304</v>
      </c>
      <c r="Z369" s="6"/>
      <c r="AA369" s="61"/>
    </row>
    <row r="370" spans="1:27" ht="13.5">
      <c r="A370" t="s">
        <v>1265</v>
      </c>
      <c r="B370">
        <v>5797</v>
      </c>
      <c r="C370">
        <v>5832</v>
      </c>
      <c r="D370" s="13">
        <f t="shared" si="9"/>
        <v>10.421080862910364</v>
      </c>
      <c r="E370" s="61">
        <v>31</v>
      </c>
      <c r="F370" s="65">
        <v>95.592506259408367</v>
      </c>
      <c r="G370" s="6">
        <v>1169</v>
      </c>
      <c r="H370" s="6">
        <v>1114</v>
      </c>
      <c r="I370" s="65">
        <v>5.3583360852059867</v>
      </c>
      <c r="J370" s="6">
        <f>VLOOKUP($D370,Sheet1!$A$5:$C$192,3,TRUE)</f>
        <v>2</v>
      </c>
      <c r="K370" s="42" t="str">
        <f>VLOOKUP($D370,Sheet1!$A$5:$C$192,2,TRUE)</f>
        <v>)|(</v>
      </c>
      <c r="L370" s="6">
        <f>FLOOR(VLOOKUP($D370,Sheet1!$D$5:$F$192,3,TRUE),1)</f>
        <v>4</v>
      </c>
      <c r="M370" s="42" t="str">
        <f>VLOOKUP($D370,Sheet1!$D$5:$F$192,2,TRUE)</f>
        <v>)|(</v>
      </c>
      <c r="N370" s="23">
        <f>FLOOR(VLOOKUP($D370,Sheet1!$G$5:$I$192,3,TRUE),1)</f>
        <v>5</v>
      </c>
      <c r="O370" s="42" t="str">
        <f>VLOOKUP($D370,Sheet1!$G$5:$I$192,2,TRUE)</f>
        <v>)|(</v>
      </c>
      <c r="P370" s="23">
        <v>1</v>
      </c>
      <c r="Q370" s="43" t="str">
        <f>VLOOKUP($D370,Sheet1!$J$5:$L$192,2,TRUE)</f>
        <v>)|('</v>
      </c>
      <c r="R370" s="23">
        <f>FLOOR(VLOOKUP($D370,Sheet1!$M$5:$O$192,3,TRUE),1)</f>
        <v>21</v>
      </c>
      <c r="S370" s="42" t="str">
        <f>VLOOKUP($D370,Sheet1!$M$5:$O$192,2,TRUE)</f>
        <v>)|('</v>
      </c>
      <c r="T370" s="117">
        <f>IF(ABS(D370-VLOOKUP($D370,Sheet1!$M$5:$T$192,8,TRUE))&lt;10^-10,"SoCA",D370-VLOOKUP($D370,Sheet1!$M$5:$T$192,8,TRUE))</f>
        <v>0.31040405413684269</v>
      </c>
      <c r="U370" s="109">
        <f>IF(VLOOKUP($D370,Sheet1!$M$5:$U$192,9,TRUE)=0,"",IF(ABS(D370-VLOOKUP($D370,Sheet1!$M$5:$U$192,9,TRUE))&lt;10^-10,"Alt.",D370-VLOOKUP($D370,Sheet1!$M$5:$U$192,9,TRUE)))</f>
        <v>0.33736434933927661</v>
      </c>
      <c r="V370" s="132">
        <f>$D370-Sheet1!$M$3*$R370</f>
        <v>0.17479276328825932</v>
      </c>
      <c r="Z370" s="6"/>
      <c r="AA370" s="61"/>
    </row>
    <row r="371" spans="1:27" ht="13.5">
      <c r="A371" t="s">
        <v>691</v>
      </c>
      <c r="B371">
        <v>1161</v>
      </c>
      <c r="C371">
        <v>1168</v>
      </c>
      <c r="D371" s="13">
        <f t="shared" si="9"/>
        <v>10.406762417341087</v>
      </c>
      <c r="E371" s="61" t="s">
        <v>1931</v>
      </c>
      <c r="F371" s="65">
        <v>116.26978363892059</v>
      </c>
      <c r="G371" s="6">
        <v>577</v>
      </c>
      <c r="H371" s="6">
        <v>536</v>
      </c>
      <c r="I371" s="65">
        <v>-3.6407822759353756</v>
      </c>
      <c r="J371" s="6">
        <f>VLOOKUP($D371,Sheet1!$A$5:$C$192,3,TRUE)</f>
        <v>2</v>
      </c>
      <c r="K371" s="42" t="str">
        <f>VLOOKUP($D371,Sheet1!$A$5:$C$192,2,TRUE)</f>
        <v>)|(</v>
      </c>
      <c r="L371" s="6">
        <f>FLOOR(VLOOKUP($D371,Sheet1!$D$5:$F$192,3,TRUE),1)</f>
        <v>4</v>
      </c>
      <c r="M371" s="42" t="str">
        <f>VLOOKUP($D371,Sheet1!$D$5:$F$192,2,TRUE)</f>
        <v>)|(</v>
      </c>
      <c r="N371" s="23">
        <f>FLOOR(VLOOKUP($D371,Sheet1!$G$5:$I$192,3,TRUE),1)</f>
        <v>5</v>
      </c>
      <c r="O371" s="42" t="str">
        <f>VLOOKUP($D371,Sheet1!$G$5:$I$192,2,TRUE)</f>
        <v>)|(</v>
      </c>
      <c r="P371" s="23">
        <v>1</v>
      </c>
      <c r="Q371" s="43" t="str">
        <f>VLOOKUP($D371,Sheet1!$J$5:$L$192,2,TRUE)</f>
        <v>)|('</v>
      </c>
      <c r="R371" s="23">
        <f>FLOOR(VLOOKUP($D371,Sheet1!$M$5:$O$192,3,TRUE),1)</f>
        <v>21</v>
      </c>
      <c r="S371" s="42" t="str">
        <f>VLOOKUP($D371,Sheet1!$M$5:$O$192,2,TRUE)</f>
        <v>)|('</v>
      </c>
      <c r="T371" s="117">
        <f>IF(ABS(D371-VLOOKUP($D371,Sheet1!$M$5:$T$192,8,TRUE))&lt;10^-10,"SoCA",D371-VLOOKUP($D371,Sheet1!$M$5:$T$192,8,TRUE))</f>
        <v>0.29608560856756583</v>
      </c>
      <c r="U371" s="109">
        <f>IF(VLOOKUP($D371,Sheet1!$M$5:$U$192,9,TRUE)=0,"",IF(ABS(D371-VLOOKUP($D371,Sheet1!$M$5:$U$192,9,TRUE))&lt;10^-10,"Alt.",D371-VLOOKUP($D371,Sheet1!$M$5:$U$192,9,TRUE)))</f>
        <v>0.32304590376999975</v>
      </c>
      <c r="V371" s="132">
        <f>$D371-Sheet1!$M$3*$R371</f>
        <v>0.16047431771898246</v>
      </c>
      <c r="Z371" s="6"/>
      <c r="AA371" s="61"/>
    </row>
    <row r="372" spans="1:27" ht="13.5">
      <c r="A372" s="6" t="s">
        <v>483</v>
      </c>
      <c r="B372" s="18">
        <f>3^4*7^7</f>
        <v>66706983</v>
      </c>
      <c r="C372" s="18">
        <f>2^26</f>
        <v>67108864</v>
      </c>
      <c r="D372" s="13">
        <f t="shared" si="9"/>
        <v>10.398651254575972</v>
      </c>
      <c r="E372" s="61">
        <v>7</v>
      </c>
      <c r="F372" s="65">
        <v>118.04459805135166</v>
      </c>
      <c r="G372" s="6">
        <v>343</v>
      </c>
      <c r="H372" s="6">
        <v>323</v>
      </c>
      <c r="I372" s="65">
        <v>-4.6402828420933524</v>
      </c>
      <c r="J372" s="6">
        <f>VLOOKUP($D372,Sheet1!$A$5:$C$192,3,TRUE)</f>
        <v>2</v>
      </c>
      <c r="K372" s="42" t="str">
        <f>VLOOKUP($D372,Sheet1!$A$5:$C$192,2,TRUE)</f>
        <v>)|(</v>
      </c>
      <c r="L372" s="6">
        <f>FLOOR(VLOOKUP($D372,Sheet1!$D$5:$F$192,3,TRUE),1)</f>
        <v>4</v>
      </c>
      <c r="M372" s="42" t="str">
        <f>VLOOKUP($D372,Sheet1!$D$5:$F$192,2,TRUE)</f>
        <v>)|(</v>
      </c>
      <c r="N372" s="23">
        <f>FLOOR(VLOOKUP($D372,Sheet1!$G$5:$I$192,3,TRUE),1)</f>
        <v>5</v>
      </c>
      <c r="O372" s="42" t="str">
        <f>VLOOKUP($D372,Sheet1!$G$5:$I$192,2,TRUE)</f>
        <v>)|(</v>
      </c>
      <c r="P372" s="23">
        <v>1</v>
      </c>
      <c r="Q372" s="43" t="str">
        <f>VLOOKUP($D372,Sheet1!$J$5:$L$192,2,TRUE)</f>
        <v>)|('</v>
      </c>
      <c r="R372" s="23">
        <f>FLOOR(VLOOKUP($D372,Sheet1!$M$5:$O$192,3,TRUE),1)</f>
        <v>21</v>
      </c>
      <c r="S372" s="42" t="str">
        <f>VLOOKUP($D372,Sheet1!$M$5:$O$192,2,TRUE)</f>
        <v>)|('</v>
      </c>
      <c r="T372" s="117">
        <f>IF(ABS(D372-VLOOKUP($D372,Sheet1!$M$5:$T$192,8,TRUE))&lt;10^-10,"SoCA",D372-VLOOKUP($D372,Sheet1!$M$5:$T$192,8,TRUE))</f>
        <v>0.28797444580245113</v>
      </c>
      <c r="U372" s="109">
        <f>IF(VLOOKUP($D372,Sheet1!$M$5:$U$192,9,TRUE)=0,"",IF(ABS(D372-VLOOKUP($D372,Sheet1!$M$5:$U$192,9,TRUE))&lt;10^-10,"Alt.",D372-VLOOKUP($D372,Sheet1!$M$5:$U$192,9,TRUE)))</f>
        <v>0.31493474100488505</v>
      </c>
      <c r="V372" s="132">
        <f>$D372-Sheet1!$M$3*$R372</f>
        <v>0.15236315495386776</v>
      </c>
      <c r="Z372" s="6"/>
      <c r="AA372" s="61"/>
    </row>
    <row r="373" spans="1:27" ht="13.5">
      <c r="A373" t="s">
        <v>885</v>
      </c>
      <c r="B373">
        <v>165</v>
      </c>
      <c r="C373">
        <v>166</v>
      </c>
      <c r="D373" s="13">
        <f t="shared" si="9"/>
        <v>10.460660521330832</v>
      </c>
      <c r="E373" s="61" t="s">
        <v>1931</v>
      </c>
      <c r="F373" s="65">
        <v>118.86533815798863</v>
      </c>
      <c r="G373" s="6">
        <v>795</v>
      </c>
      <c r="H373" s="6">
        <v>732</v>
      </c>
      <c r="I373" s="65">
        <v>-1.6441009785595078</v>
      </c>
      <c r="J373" s="6">
        <f>VLOOKUP($D373,Sheet1!$A$5:$C$192,3,TRUE)</f>
        <v>2</v>
      </c>
      <c r="K373" s="42" t="str">
        <f>VLOOKUP($D373,Sheet1!$A$5:$C$192,2,TRUE)</f>
        <v>)|(</v>
      </c>
      <c r="L373" s="6">
        <f>FLOOR(VLOOKUP($D373,Sheet1!$D$5:$F$192,3,TRUE),1)</f>
        <v>4</v>
      </c>
      <c r="M373" s="42" t="str">
        <f>VLOOKUP($D373,Sheet1!$D$5:$F$192,2,TRUE)</f>
        <v>)|(</v>
      </c>
      <c r="N373" s="23">
        <f>FLOOR(VLOOKUP($D373,Sheet1!$G$5:$I$192,3,TRUE),1)</f>
        <v>5</v>
      </c>
      <c r="O373" s="42" t="str">
        <f>VLOOKUP($D373,Sheet1!$G$5:$I$192,2,TRUE)</f>
        <v>)|(</v>
      </c>
      <c r="P373" s="23">
        <v>1</v>
      </c>
      <c r="Q373" s="43" t="str">
        <f>VLOOKUP($D373,Sheet1!$J$5:$L$192,2,TRUE)</f>
        <v>)|('</v>
      </c>
      <c r="R373" s="23">
        <f>FLOOR(VLOOKUP($D373,Sheet1!$M$5:$O$192,3,TRUE),1)</f>
        <v>21</v>
      </c>
      <c r="S373" s="42" t="str">
        <f>VLOOKUP($D373,Sheet1!$M$5:$O$192,2,TRUE)</f>
        <v>)|('</v>
      </c>
      <c r="T373" s="117">
        <f>IF(ABS(D373-VLOOKUP($D373,Sheet1!$M$5:$T$192,8,TRUE))&lt;10^-10,"SoCA",D373-VLOOKUP($D373,Sheet1!$M$5:$T$192,8,TRUE))</f>
        <v>0.34998371255731087</v>
      </c>
      <c r="U373" s="109">
        <f>IF(VLOOKUP($D373,Sheet1!$M$5:$U$192,9,TRUE)=0,"",IF(ABS(D373-VLOOKUP($D373,Sheet1!$M$5:$U$192,9,TRUE))&lt;10^-10,"Alt.",D373-VLOOKUP($D373,Sheet1!$M$5:$U$192,9,TRUE)))</f>
        <v>0.37694400775974479</v>
      </c>
      <c r="V373" s="132">
        <f>$D373-Sheet1!$M$3*$R373</f>
        <v>0.2143724217087275</v>
      </c>
      <c r="Z373" s="6"/>
      <c r="AA373" s="61"/>
    </row>
    <row r="374" spans="1:27" ht="13.5">
      <c r="A374" t="s">
        <v>1451</v>
      </c>
      <c r="B374">
        <v>671744</v>
      </c>
      <c r="C374">
        <v>675783</v>
      </c>
      <c r="D374" s="13">
        <f t="shared" si="9"/>
        <v>10.378234001261015</v>
      </c>
      <c r="E374" s="61" t="s">
        <v>1931</v>
      </c>
      <c r="F374" s="65">
        <v>149.78682899525356</v>
      </c>
      <c r="G374" s="6">
        <v>1365</v>
      </c>
      <c r="H374" s="6">
        <v>1300</v>
      </c>
      <c r="I374" s="65">
        <v>7.360974322577353</v>
      </c>
      <c r="J374" s="6">
        <f>VLOOKUP($D374,Sheet1!$A$5:$C$192,3,TRUE)</f>
        <v>2</v>
      </c>
      <c r="K374" s="42" t="str">
        <f>VLOOKUP($D374,Sheet1!$A$5:$C$192,2,TRUE)</f>
        <v>)|(</v>
      </c>
      <c r="L374" s="6">
        <f>FLOOR(VLOOKUP($D374,Sheet1!$D$5:$F$192,3,TRUE),1)</f>
        <v>4</v>
      </c>
      <c r="M374" s="42" t="str">
        <f>VLOOKUP($D374,Sheet1!$D$5:$F$192,2,TRUE)</f>
        <v>)|(</v>
      </c>
      <c r="N374" s="23">
        <f>FLOOR(VLOOKUP($D374,Sheet1!$G$5:$I$192,3,TRUE),1)</f>
        <v>5</v>
      </c>
      <c r="O374" s="42" t="str">
        <f>VLOOKUP($D374,Sheet1!$G$5:$I$192,2,TRUE)</f>
        <v>)|(</v>
      </c>
      <c r="P374" s="23">
        <v>1</v>
      </c>
      <c r="Q374" s="43" t="str">
        <f>VLOOKUP($D374,Sheet1!$J$5:$L$192,2,TRUE)</f>
        <v>)|('</v>
      </c>
      <c r="R374" s="23">
        <f>FLOOR(VLOOKUP($D374,Sheet1!$M$5:$O$192,3,TRUE),1)</f>
        <v>21</v>
      </c>
      <c r="S374" s="42" t="str">
        <f>VLOOKUP($D374,Sheet1!$M$5:$O$192,2,TRUE)</f>
        <v>)|('</v>
      </c>
      <c r="T374" s="117">
        <f>IF(ABS(D374-VLOOKUP($D374,Sheet1!$M$5:$T$192,8,TRUE))&lt;10^-10,"SoCA",D374-VLOOKUP($D374,Sheet1!$M$5:$T$192,8,TRUE))</f>
        <v>0.26755719248749443</v>
      </c>
      <c r="U374" s="109">
        <f>IF(VLOOKUP($D374,Sheet1!$M$5:$U$192,9,TRUE)=0,"",IF(ABS(D374-VLOOKUP($D374,Sheet1!$M$5:$U$192,9,TRUE))&lt;10^-10,"Alt.",D374-VLOOKUP($D374,Sheet1!$M$5:$U$192,9,TRUE)))</f>
        <v>0.29451748768992836</v>
      </c>
      <c r="V374" s="132">
        <f>$D374-Sheet1!$M$3*$R374</f>
        <v>0.13194590163891107</v>
      </c>
      <c r="Z374" s="6"/>
      <c r="AA374" s="61"/>
    </row>
    <row r="375" spans="1:27" ht="13.5">
      <c r="A375" t="s">
        <v>1579</v>
      </c>
      <c r="B375">
        <v>911979</v>
      </c>
      <c r="C375">
        <v>917504</v>
      </c>
      <c r="D375" s="13">
        <f t="shared" si="9"/>
        <v>10.456612277816692</v>
      </c>
      <c r="E375" s="61" t="s">
        <v>1931</v>
      </c>
      <c r="F375" s="65">
        <v>155.05473725154965</v>
      </c>
      <c r="G375" s="6">
        <v>1487</v>
      </c>
      <c r="H375" s="6">
        <v>1428</v>
      </c>
      <c r="I375" s="65">
        <v>-8.6438517134577886</v>
      </c>
      <c r="J375" s="6">
        <f>VLOOKUP($D375,Sheet1!$A$5:$C$192,3,TRUE)</f>
        <v>2</v>
      </c>
      <c r="K375" s="42" t="str">
        <f>VLOOKUP($D375,Sheet1!$A$5:$C$192,2,TRUE)</f>
        <v>)|(</v>
      </c>
      <c r="L375" s="6">
        <f>FLOOR(VLOOKUP($D375,Sheet1!$D$5:$F$192,3,TRUE),1)</f>
        <v>4</v>
      </c>
      <c r="M375" s="42" t="str">
        <f>VLOOKUP($D375,Sheet1!$D$5:$F$192,2,TRUE)</f>
        <v>)|(</v>
      </c>
      <c r="N375" s="23">
        <f>FLOOR(VLOOKUP($D375,Sheet1!$G$5:$I$192,3,TRUE),1)</f>
        <v>5</v>
      </c>
      <c r="O375" s="42" t="str">
        <f>VLOOKUP($D375,Sheet1!$G$5:$I$192,2,TRUE)</f>
        <v>)|(</v>
      </c>
      <c r="P375" s="23">
        <v>1</v>
      </c>
      <c r="Q375" s="43" t="str">
        <f>VLOOKUP($D375,Sheet1!$J$5:$L$192,2,TRUE)</f>
        <v>)|('</v>
      </c>
      <c r="R375" s="23">
        <f>FLOOR(VLOOKUP($D375,Sheet1!$M$5:$O$192,3,TRUE),1)</f>
        <v>21</v>
      </c>
      <c r="S375" s="42" t="str">
        <f>VLOOKUP($D375,Sheet1!$M$5:$O$192,2,TRUE)</f>
        <v>)|('</v>
      </c>
      <c r="T375" s="117">
        <f>IF(ABS(D375-VLOOKUP($D375,Sheet1!$M$5:$T$192,8,TRUE))&lt;10^-10,"SoCA",D375-VLOOKUP($D375,Sheet1!$M$5:$T$192,8,TRUE))</f>
        <v>0.3459354690431713</v>
      </c>
      <c r="U375" s="109">
        <f>IF(VLOOKUP($D375,Sheet1!$M$5:$U$192,9,TRUE)=0,"",IF(ABS(D375-VLOOKUP($D375,Sheet1!$M$5:$U$192,9,TRUE))&lt;10^-10,"Alt.",D375-VLOOKUP($D375,Sheet1!$M$5:$U$192,9,TRUE)))</f>
        <v>0.37289576424560522</v>
      </c>
      <c r="V375" s="132">
        <f>$D375-Sheet1!$M$3*$R375</f>
        <v>0.21032417819458793</v>
      </c>
      <c r="Z375" s="6"/>
      <c r="AA375" s="61"/>
    </row>
    <row r="376" spans="1:27" ht="13.5">
      <c r="A376" t="s">
        <v>1169</v>
      </c>
      <c r="B376">
        <v>1208</v>
      </c>
      <c r="C376">
        <v>1215</v>
      </c>
      <c r="D376" s="13">
        <f t="shared" si="9"/>
        <v>10.003031001677318</v>
      </c>
      <c r="E376" s="61" t="s">
        <v>1931</v>
      </c>
      <c r="F376" s="65">
        <v>156.73945695315328</v>
      </c>
      <c r="G376" s="6">
        <v>1072</v>
      </c>
      <c r="H376" s="6">
        <v>1018</v>
      </c>
      <c r="I376" s="65">
        <v>4.3840769382006703</v>
      </c>
      <c r="J376" s="6">
        <f>VLOOKUP($D376,Sheet1!$A$5:$C$192,3,TRUE)</f>
        <v>2</v>
      </c>
      <c r="K376" s="42" t="str">
        <f>VLOOKUP($D376,Sheet1!$A$5:$C$192,2,TRUE)</f>
        <v>)|(</v>
      </c>
      <c r="L376" s="6">
        <f>FLOOR(VLOOKUP($D376,Sheet1!$D$5:$F$192,3,TRUE),1)</f>
        <v>4</v>
      </c>
      <c r="M376" s="42" t="str">
        <f>VLOOKUP($D376,Sheet1!$D$5:$F$192,2,TRUE)</f>
        <v>)|(</v>
      </c>
      <c r="N376" s="23">
        <f>FLOOR(VLOOKUP($D376,Sheet1!$G$5:$I$192,3,TRUE),1)</f>
        <v>5</v>
      </c>
      <c r="O376" s="42" t="str">
        <f>VLOOKUP($D376,Sheet1!$G$5:$I$192,2,TRUE)</f>
        <v>)|(</v>
      </c>
      <c r="P376" s="23">
        <v>1</v>
      </c>
      <c r="Q376" s="43" t="str">
        <f>VLOOKUP($D376,Sheet1!$J$5:$L$192,2,TRUE)</f>
        <v>)|('</v>
      </c>
      <c r="R376" s="23">
        <f>FLOOR(VLOOKUP($D376,Sheet1!$M$5:$O$192,3,TRUE),1)</f>
        <v>21</v>
      </c>
      <c r="S376" s="42" t="str">
        <f>VLOOKUP($D376,Sheet1!$M$5:$O$192,2,TRUE)</f>
        <v>)|('</v>
      </c>
      <c r="T376" s="117">
        <f>IF(ABS(D376-VLOOKUP($D376,Sheet1!$M$5:$T$192,8,TRUE))&lt;10^-10,"SoCA",D376-VLOOKUP($D376,Sheet1!$M$5:$T$192,8,TRUE))</f>
        <v>-0.10764580709620297</v>
      </c>
      <c r="U376" s="109">
        <f>IF(VLOOKUP($D376,Sheet1!$M$5:$U$192,9,TRUE)=0,"",IF(ABS(D376-VLOOKUP($D376,Sheet1!$M$5:$U$192,9,TRUE))&lt;10^-10,"Alt.",D376-VLOOKUP($D376,Sheet1!$M$5:$U$192,9,TRUE)))</f>
        <v>-8.0685511893769046E-2</v>
      </c>
      <c r="V376" s="132">
        <f>$D376-Sheet1!$M$3*$R376</f>
        <v>-0.24325709794478634</v>
      </c>
      <c r="Z376" s="6"/>
      <c r="AA376" s="61"/>
    </row>
    <row r="377" spans="1:27" ht="13.5">
      <c r="A377" t="s">
        <v>762</v>
      </c>
      <c r="B377">
        <v>167</v>
      </c>
      <c r="C377">
        <v>168</v>
      </c>
      <c r="D377" s="13">
        <f t="shared" si="9"/>
        <v>10.335756365649569</v>
      </c>
      <c r="E377" s="61" t="s">
        <v>1931</v>
      </c>
      <c r="F377" s="65">
        <v>174.04693817254929</v>
      </c>
      <c r="G377" s="6">
        <v>658</v>
      </c>
      <c r="H377" s="6">
        <v>608</v>
      </c>
      <c r="I377" s="65">
        <v>0.36358982535640172</v>
      </c>
      <c r="J377" s="6">
        <f>VLOOKUP($D377,Sheet1!$A$5:$C$192,3,TRUE)</f>
        <v>2</v>
      </c>
      <c r="K377" s="42" t="str">
        <f>VLOOKUP($D377,Sheet1!$A$5:$C$192,2,TRUE)</f>
        <v>)|(</v>
      </c>
      <c r="L377" s="6">
        <f>FLOOR(VLOOKUP($D377,Sheet1!$D$5:$F$192,3,TRUE),1)</f>
        <v>4</v>
      </c>
      <c r="M377" s="42" t="str">
        <f>VLOOKUP($D377,Sheet1!$D$5:$F$192,2,TRUE)</f>
        <v>)|(</v>
      </c>
      <c r="N377" s="23">
        <f>FLOOR(VLOOKUP($D377,Sheet1!$G$5:$I$192,3,TRUE),1)</f>
        <v>5</v>
      </c>
      <c r="O377" s="42" t="str">
        <f>VLOOKUP($D377,Sheet1!$G$5:$I$192,2,TRUE)</f>
        <v>)|(</v>
      </c>
      <c r="P377" s="23">
        <v>1</v>
      </c>
      <c r="Q377" s="43" t="str">
        <f>VLOOKUP($D377,Sheet1!$J$5:$L$192,2,TRUE)</f>
        <v>)|('</v>
      </c>
      <c r="R377" s="23">
        <f>FLOOR(VLOOKUP($D377,Sheet1!$M$5:$O$192,3,TRUE),1)</f>
        <v>21</v>
      </c>
      <c r="S377" s="42" t="str">
        <f>VLOOKUP($D377,Sheet1!$M$5:$O$192,2,TRUE)</f>
        <v>)|('</v>
      </c>
      <c r="T377" s="117">
        <f>IF(ABS(D377-VLOOKUP($D377,Sheet1!$M$5:$T$192,8,TRUE))&lt;10^-10,"SoCA",D377-VLOOKUP($D377,Sheet1!$M$5:$T$192,8,TRUE))</f>
        <v>0.22507955687604841</v>
      </c>
      <c r="U377" s="109">
        <f>IF(VLOOKUP($D377,Sheet1!$M$5:$U$192,9,TRUE)=0,"",IF(ABS(D377-VLOOKUP($D377,Sheet1!$M$5:$U$192,9,TRUE))&lt;10^-10,"Alt.",D377-VLOOKUP($D377,Sheet1!$M$5:$U$192,9,TRUE)))</f>
        <v>0.25203985207848234</v>
      </c>
      <c r="V377" s="132">
        <f>$D377-Sheet1!$M$3*$R377</f>
        <v>8.9468266027465049E-2</v>
      </c>
      <c r="Z377" s="6"/>
      <c r="AA377" s="61"/>
    </row>
    <row r="378" spans="1:27" ht="13.5">
      <c r="A378" t="s">
        <v>1663</v>
      </c>
      <c r="B378">
        <v>6750208</v>
      </c>
      <c r="C378">
        <v>6790635</v>
      </c>
      <c r="D378" s="13">
        <f t="shared" si="9"/>
        <v>10.337437167262344</v>
      </c>
      <c r="E378" s="61" t="s">
        <v>1931</v>
      </c>
      <c r="F378" s="65">
        <v>179.92964271633841</v>
      </c>
      <c r="G378" s="6">
        <v>1568</v>
      </c>
      <c r="H378" s="6">
        <v>1512</v>
      </c>
      <c r="I378" s="65">
        <v>9.3634863322776098</v>
      </c>
      <c r="J378" s="6">
        <f>VLOOKUP($D378,Sheet1!$A$5:$C$192,3,TRUE)</f>
        <v>2</v>
      </c>
      <c r="K378" s="42" t="str">
        <f>VLOOKUP($D378,Sheet1!$A$5:$C$192,2,TRUE)</f>
        <v>)|(</v>
      </c>
      <c r="L378" s="6">
        <f>FLOOR(VLOOKUP($D378,Sheet1!$D$5:$F$192,3,TRUE),1)</f>
        <v>4</v>
      </c>
      <c r="M378" s="42" t="str">
        <f>VLOOKUP($D378,Sheet1!$D$5:$F$192,2,TRUE)</f>
        <v>)|(</v>
      </c>
      <c r="N378" s="23">
        <f>FLOOR(VLOOKUP($D378,Sheet1!$G$5:$I$192,3,TRUE),1)</f>
        <v>5</v>
      </c>
      <c r="O378" s="42" t="str">
        <f>VLOOKUP($D378,Sheet1!$G$5:$I$192,2,TRUE)</f>
        <v>)|(</v>
      </c>
      <c r="P378" s="23">
        <v>1</v>
      </c>
      <c r="Q378" s="43" t="str">
        <f>VLOOKUP($D378,Sheet1!$J$5:$L$192,2,TRUE)</f>
        <v>)|('</v>
      </c>
      <c r="R378" s="23">
        <f>FLOOR(VLOOKUP($D378,Sheet1!$M$5:$O$192,3,TRUE),1)</f>
        <v>21</v>
      </c>
      <c r="S378" s="42" t="str">
        <f>VLOOKUP($D378,Sheet1!$M$5:$O$192,2,TRUE)</f>
        <v>)|('</v>
      </c>
      <c r="T378" s="117">
        <f>IF(ABS(D378-VLOOKUP($D378,Sheet1!$M$5:$T$192,8,TRUE))&lt;10^-10,"SoCA",D378-VLOOKUP($D378,Sheet1!$M$5:$T$192,8,TRUE))</f>
        <v>0.22676035848882314</v>
      </c>
      <c r="U378" s="109">
        <f>IF(VLOOKUP($D378,Sheet1!$M$5:$U$192,9,TRUE)=0,"",IF(ABS(D378-VLOOKUP($D378,Sheet1!$M$5:$U$192,9,TRUE))&lt;10^-10,"Alt.",D378-VLOOKUP($D378,Sheet1!$M$5:$U$192,9,TRUE)))</f>
        <v>0.25372065369125707</v>
      </c>
      <c r="V378" s="132">
        <f>$D378-Sheet1!$M$3*$R378</f>
        <v>9.1149067640239778E-2</v>
      </c>
      <c r="Z378" s="6"/>
      <c r="AA378" s="61"/>
    </row>
    <row r="379" spans="1:27" ht="13.5">
      <c r="A379" t="s">
        <v>990</v>
      </c>
      <c r="B379">
        <v>2799</v>
      </c>
      <c r="C379">
        <v>2816</v>
      </c>
      <c r="D379" s="13">
        <f t="shared" si="9"/>
        <v>10.48301647725893</v>
      </c>
      <c r="E379" s="61" t="s">
        <v>1931</v>
      </c>
      <c r="F379" s="65">
        <v>322.16377600404019</v>
      </c>
      <c r="G379" s="6">
        <v>904</v>
      </c>
      <c r="H379" s="6">
        <v>838</v>
      </c>
      <c r="I379" s="65">
        <v>-2.6454775162131825</v>
      </c>
      <c r="J379" s="6">
        <f>VLOOKUP($D379,Sheet1!$A$5:$C$192,3,TRUE)</f>
        <v>2</v>
      </c>
      <c r="K379" s="42" t="str">
        <f>VLOOKUP($D379,Sheet1!$A$5:$C$192,2,TRUE)</f>
        <v>)|(</v>
      </c>
      <c r="L379" s="6">
        <f>FLOOR(VLOOKUP($D379,Sheet1!$D$5:$F$192,3,TRUE),1)</f>
        <v>4</v>
      </c>
      <c r="M379" s="42" t="str">
        <f>VLOOKUP($D379,Sheet1!$D$5:$F$192,2,TRUE)</f>
        <v>)|(</v>
      </c>
      <c r="N379" s="23">
        <f>FLOOR(VLOOKUP($D379,Sheet1!$G$5:$I$192,3,TRUE),1)</f>
        <v>5</v>
      </c>
      <c r="O379" s="42" t="str">
        <f>VLOOKUP($D379,Sheet1!$G$5:$I$192,2,TRUE)</f>
        <v>)|(</v>
      </c>
      <c r="P379" s="23">
        <v>1</v>
      </c>
      <c r="Q379" s="43" t="str">
        <f>VLOOKUP($D379,Sheet1!$J$5:$L$192,2,TRUE)</f>
        <v>)|('</v>
      </c>
      <c r="R379" s="23">
        <f>FLOOR(VLOOKUP($D379,Sheet1!$M$5:$O$192,3,TRUE),1)</f>
        <v>21</v>
      </c>
      <c r="S379" s="42" t="str">
        <f>VLOOKUP($D379,Sheet1!$M$5:$O$192,2,TRUE)</f>
        <v>)|('</v>
      </c>
      <c r="T379" s="117">
        <f>IF(ABS(D379-VLOOKUP($D379,Sheet1!$M$5:$T$192,8,TRUE))&lt;10^-10,"SoCA",D379-VLOOKUP($D379,Sheet1!$M$5:$T$192,8,TRUE))</f>
        <v>0.37233966848540945</v>
      </c>
      <c r="U379" s="109">
        <f>IF(VLOOKUP($D379,Sheet1!$M$5:$U$192,9,TRUE)=0,"",IF(ABS(D379-VLOOKUP($D379,Sheet1!$M$5:$U$192,9,TRUE))&lt;10^-10,"Alt.",D379-VLOOKUP($D379,Sheet1!$M$5:$U$192,9,TRUE)))</f>
        <v>0.39929996368784337</v>
      </c>
      <c r="V379" s="132">
        <f>$D379-Sheet1!$M$3*$R379</f>
        <v>0.23672837763682608</v>
      </c>
      <c r="Z379" s="6"/>
      <c r="AA379" s="61"/>
    </row>
    <row r="380" spans="1:27" ht="13.5">
      <c r="A380" t="s">
        <v>1549</v>
      </c>
      <c r="B380">
        <v>919552</v>
      </c>
      <c r="C380">
        <v>925101</v>
      </c>
      <c r="D380" s="13">
        <f t="shared" si="9"/>
        <v>10.41566811227519</v>
      </c>
      <c r="E380" s="61" t="s">
        <v>1931</v>
      </c>
      <c r="F380" s="65">
        <v>510.41415735478091</v>
      </c>
      <c r="G380" s="6">
        <v>1455</v>
      </c>
      <c r="H380" s="6">
        <v>1398</v>
      </c>
      <c r="I380" s="65">
        <v>8.3586693679823192</v>
      </c>
      <c r="J380" s="6">
        <f>VLOOKUP($D380,Sheet1!$A$5:$C$192,3,TRUE)</f>
        <v>2</v>
      </c>
      <c r="K380" s="42" t="str">
        <f>VLOOKUP($D380,Sheet1!$A$5:$C$192,2,TRUE)</f>
        <v>)|(</v>
      </c>
      <c r="L380" s="6">
        <f>FLOOR(VLOOKUP($D380,Sheet1!$D$5:$F$192,3,TRUE),1)</f>
        <v>4</v>
      </c>
      <c r="M380" s="42" t="str">
        <f>VLOOKUP($D380,Sheet1!$D$5:$F$192,2,TRUE)</f>
        <v>)|(</v>
      </c>
      <c r="N380" s="23">
        <f>FLOOR(VLOOKUP($D380,Sheet1!$G$5:$I$192,3,TRUE),1)</f>
        <v>5</v>
      </c>
      <c r="O380" s="42" t="str">
        <f>VLOOKUP($D380,Sheet1!$G$5:$I$192,2,TRUE)</f>
        <v>)|(</v>
      </c>
      <c r="P380" s="23">
        <v>1</v>
      </c>
      <c r="Q380" s="43" t="str">
        <f>VLOOKUP($D380,Sheet1!$J$5:$L$192,2,TRUE)</f>
        <v>)|('</v>
      </c>
      <c r="R380" s="23">
        <f>FLOOR(VLOOKUP($D380,Sheet1!$M$5:$O$192,3,TRUE),1)</f>
        <v>21</v>
      </c>
      <c r="S380" s="42" t="str">
        <f>VLOOKUP($D380,Sheet1!$M$5:$O$192,2,TRUE)</f>
        <v>)|('</v>
      </c>
      <c r="T380" s="117">
        <f>IF(ABS(D380-VLOOKUP($D380,Sheet1!$M$5:$T$192,8,TRUE))&lt;10^-10,"SoCA",D380-VLOOKUP($D380,Sheet1!$M$5:$T$192,8,TRUE))</f>
        <v>0.30499130350166936</v>
      </c>
      <c r="U380" s="109">
        <f>IF(VLOOKUP($D380,Sheet1!$M$5:$U$192,9,TRUE)=0,"",IF(ABS(D380-VLOOKUP($D380,Sheet1!$M$5:$U$192,9,TRUE))&lt;10^-10,"Alt.",D380-VLOOKUP($D380,Sheet1!$M$5:$U$192,9,TRUE)))</f>
        <v>0.33195159870410329</v>
      </c>
      <c r="V380" s="132">
        <f>$D380-Sheet1!$M$3*$R380</f>
        <v>0.169380012653086</v>
      </c>
      <c r="Z380" s="6"/>
      <c r="AA380" s="61"/>
    </row>
    <row r="381" spans="1:27" ht="13.5">
      <c r="A381" t="s">
        <v>1167</v>
      </c>
      <c r="B381">
        <v>267113216</v>
      </c>
      <c r="C381">
        <v>268665417</v>
      </c>
      <c r="D381" s="13">
        <f t="shared" si="9"/>
        <v>10.031123209518412</v>
      </c>
      <c r="E381" s="61" t="s">
        <v>1931</v>
      </c>
      <c r="F381" s="65">
        <v>2149032.128665545</v>
      </c>
      <c r="G381" s="6">
        <v>1070</v>
      </c>
      <c r="H381" s="6">
        <v>1016</v>
      </c>
      <c r="I381" s="65">
        <v>4.382347198618409</v>
      </c>
      <c r="J381" s="6">
        <f>VLOOKUP($D381,Sheet1!$A$5:$C$192,3,TRUE)</f>
        <v>2</v>
      </c>
      <c r="K381" s="42" t="str">
        <f>VLOOKUP($D381,Sheet1!$A$5:$C$192,2,TRUE)</f>
        <v>)|(</v>
      </c>
      <c r="L381" s="6">
        <f>FLOOR(VLOOKUP($D381,Sheet1!$D$5:$F$192,3,TRUE),1)</f>
        <v>4</v>
      </c>
      <c r="M381" s="42" t="str">
        <f>VLOOKUP($D381,Sheet1!$D$5:$F$192,2,TRUE)</f>
        <v>)|(</v>
      </c>
      <c r="N381" s="23">
        <f>FLOOR(VLOOKUP($D381,Sheet1!$G$5:$I$192,3,TRUE),1)</f>
        <v>5</v>
      </c>
      <c r="O381" s="42" t="str">
        <f>VLOOKUP($D381,Sheet1!$G$5:$I$192,2,TRUE)</f>
        <v>)|(</v>
      </c>
      <c r="P381" s="23">
        <v>1</v>
      </c>
      <c r="Q381" s="43" t="str">
        <f>VLOOKUP($D381,Sheet1!$J$5:$L$192,2,TRUE)</f>
        <v>)|('</v>
      </c>
      <c r="R381" s="23">
        <f>FLOOR(VLOOKUP($D381,Sheet1!$M$5:$O$192,3,TRUE),1)</f>
        <v>21</v>
      </c>
      <c r="S381" s="42" t="str">
        <f>VLOOKUP($D381,Sheet1!$M$5:$O$192,2,TRUE)</f>
        <v>)|('</v>
      </c>
      <c r="T381" s="117">
        <f>IF(ABS(D381-VLOOKUP($D381,Sheet1!$M$5:$T$192,8,TRUE))&lt;10^-10,"SoCA",D381-VLOOKUP($D381,Sheet1!$M$5:$T$192,8,TRUE))</f>
        <v>-7.9553599255108409E-2</v>
      </c>
      <c r="U381" s="109">
        <f>IF(VLOOKUP($D381,Sheet1!$M$5:$U$192,9,TRUE)=0,"",IF(ABS(D381-VLOOKUP($D381,Sheet1!$M$5:$U$192,9,TRUE))&lt;10^-10,"Alt.",D381-VLOOKUP($D381,Sheet1!$M$5:$U$192,9,TRUE)))</f>
        <v>-5.2593304052674483E-2</v>
      </c>
      <c r="V381" s="132">
        <f>$D381-Sheet1!$M$3*$R381</f>
        <v>-0.21516489010369177</v>
      </c>
      <c r="Z381" s="6"/>
      <c r="AA381" s="61"/>
    </row>
    <row r="382" spans="1:27" ht="13.5">
      <c r="A382" t="s">
        <v>1166</v>
      </c>
      <c r="B382">
        <v>378910592</v>
      </c>
      <c r="C382">
        <v>381192399</v>
      </c>
      <c r="D382" s="13">
        <f t="shared" si="9"/>
        <v>10.394259423365082</v>
      </c>
      <c r="E382" s="61" t="s">
        <v>1931</v>
      </c>
      <c r="F382" s="65">
        <v>4154510.5625754655</v>
      </c>
      <c r="G382" s="6">
        <v>1069</v>
      </c>
      <c r="H382" s="6">
        <v>1015</v>
      </c>
      <c r="I382" s="65">
        <v>4.3599875789546143</v>
      </c>
      <c r="J382" s="6">
        <f>VLOOKUP($D382,Sheet1!$A$5:$C$192,3,TRUE)</f>
        <v>2</v>
      </c>
      <c r="K382" s="42" t="str">
        <f>VLOOKUP($D382,Sheet1!$A$5:$C$192,2,TRUE)</f>
        <v>)|(</v>
      </c>
      <c r="L382" s="6">
        <f>FLOOR(VLOOKUP($D382,Sheet1!$D$5:$F$192,3,TRUE),1)</f>
        <v>4</v>
      </c>
      <c r="M382" s="42" t="str">
        <f>VLOOKUP($D382,Sheet1!$D$5:$F$192,2,TRUE)</f>
        <v>)|(</v>
      </c>
      <c r="N382" s="23">
        <f>FLOOR(VLOOKUP($D382,Sheet1!$G$5:$I$192,3,TRUE),1)</f>
        <v>5</v>
      </c>
      <c r="O382" s="42" t="str">
        <f>VLOOKUP($D382,Sheet1!$G$5:$I$192,2,TRUE)</f>
        <v>)|(</v>
      </c>
      <c r="P382" s="23">
        <v>1</v>
      </c>
      <c r="Q382" s="43" t="str">
        <f>VLOOKUP($D382,Sheet1!$J$5:$L$192,2,TRUE)</f>
        <v>)|('</v>
      </c>
      <c r="R382" s="23">
        <f>FLOOR(VLOOKUP($D382,Sheet1!$M$5:$O$192,3,TRUE),1)</f>
        <v>21</v>
      </c>
      <c r="S382" s="42" t="str">
        <f>VLOOKUP($D382,Sheet1!$M$5:$O$192,2,TRUE)</f>
        <v>)|('</v>
      </c>
      <c r="T382" s="117">
        <f>IF(ABS(D382-VLOOKUP($D382,Sheet1!$M$5:$T$192,8,TRUE))&lt;10^-10,"SoCA",D382-VLOOKUP($D382,Sheet1!$M$5:$T$192,8,TRUE))</f>
        <v>0.28358261459156076</v>
      </c>
      <c r="U382" s="109">
        <f>IF(VLOOKUP($D382,Sheet1!$M$5:$U$192,9,TRUE)=0,"",IF(ABS(D382-VLOOKUP($D382,Sheet1!$M$5:$U$192,9,TRUE))&lt;10^-10,"Alt.",D382-VLOOKUP($D382,Sheet1!$M$5:$U$192,9,TRUE)))</f>
        <v>0.31054290979399468</v>
      </c>
      <c r="V382" s="132">
        <f>$D382-Sheet1!$M$3*$R382</f>
        <v>0.14797132374297739</v>
      </c>
      <c r="Z382" s="6"/>
      <c r="AA382" s="61"/>
    </row>
    <row r="383" spans="1:27" ht="13.5">
      <c r="A383" s="38" t="s">
        <v>484</v>
      </c>
      <c r="B383" s="38">
        <f>2^13*13</f>
        <v>106496</v>
      </c>
      <c r="C383" s="38">
        <f>3^7*7^2</f>
        <v>107163</v>
      </c>
      <c r="D383" s="13">
        <f t="shared" si="9"/>
        <v>10.809157226651013</v>
      </c>
      <c r="E383" s="61">
        <v>13</v>
      </c>
      <c r="F383" s="65">
        <v>34.34107468110961</v>
      </c>
      <c r="G383" s="6">
        <v>330</v>
      </c>
      <c r="H383" s="6">
        <v>324</v>
      </c>
      <c r="I383" s="65">
        <v>6.3344408096513067</v>
      </c>
      <c r="J383" s="6">
        <f>VLOOKUP($D383,Sheet1!$A$5:$C$192,3,TRUE)</f>
        <v>2</v>
      </c>
      <c r="K383" s="42" t="str">
        <f>VLOOKUP($D383,Sheet1!$A$5:$C$192,2,TRUE)</f>
        <v>)|(</v>
      </c>
      <c r="L383" s="6">
        <f>FLOOR(VLOOKUP($D383,Sheet1!$D$5:$F$192,3,TRUE),1)</f>
        <v>4</v>
      </c>
      <c r="M383" s="42" t="str">
        <f>VLOOKUP($D383,Sheet1!$D$5:$F$192,2,TRUE)</f>
        <v>)|(</v>
      </c>
      <c r="N383" s="23">
        <f>FLOOR(VLOOKUP($D383,Sheet1!$G$5:$I$192,3,TRUE),1)</f>
        <v>5</v>
      </c>
      <c r="O383" s="42" t="str">
        <f>VLOOKUP($D383,Sheet1!$G$5:$I$192,2,TRUE)</f>
        <v>)|(</v>
      </c>
      <c r="P383" s="23">
        <v>1</v>
      </c>
      <c r="Q383" s="45" t="str">
        <f>VLOOKUP($D383,Sheet1!$J$5:$L$192,2,TRUE)</f>
        <v>)|(''</v>
      </c>
      <c r="R383" s="38">
        <f>FLOOR(VLOOKUP($D383,Sheet1!$M$5:$O$192,3,TRUE),1)</f>
        <v>22</v>
      </c>
      <c r="S383" s="45" t="str">
        <f>VLOOKUP($D383,Sheet1!$M$5:$O$192,2,TRUE)</f>
        <v>)|(''</v>
      </c>
      <c r="T383" s="128">
        <f>IF(ABS(D383-VLOOKUP($D383,Sheet1!$M$5:$T$192,8,TRUE))&lt;10^-10,"SoCA",D383-VLOOKUP($D383,Sheet1!$M$5:$T$192,8,TRUE))</f>
        <v>0.28867237973071802</v>
      </c>
      <c r="U383" s="128">
        <f>IF(VLOOKUP($D383,Sheet1!$M$5:$U$192,9,TRUE)=0,"",IF(ABS(D383-VLOOKUP($D383,Sheet1!$M$5:$U$192,9,TRUE))&lt;10^-10,"Alt.",D383-VLOOKUP($D383,Sheet1!$M$5:$U$192,9,TRUE)))</f>
        <v>0.30272454712517494</v>
      </c>
      <c r="V383" s="133">
        <f>$D383-Sheet1!$M$3*$R383</f>
        <v>7.4950646094523066E-2</v>
      </c>
      <c r="Z383" s="6"/>
      <c r="AA383" s="61"/>
    </row>
    <row r="384" spans="1:27" ht="13.5">
      <c r="A384" s="21" t="s">
        <v>47</v>
      </c>
      <c r="B384" s="23">
        <f>2^5*5</f>
        <v>160</v>
      </c>
      <c r="C384" s="23">
        <f>7*23</f>
        <v>161</v>
      </c>
      <c r="D384" s="13">
        <f t="shared" si="9"/>
        <v>10.786539872705712</v>
      </c>
      <c r="E384" s="61">
        <v>23</v>
      </c>
      <c r="F384" s="65">
        <v>42.025778926233023</v>
      </c>
      <c r="G384" s="6">
        <v>367</v>
      </c>
      <c r="H384" s="6">
        <v>322</v>
      </c>
      <c r="I384" s="65">
        <v>-0.66416655746677478</v>
      </c>
      <c r="J384" s="6">
        <f>VLOOKUP($D384,Sheet1!$A$5:$C$192,3,TRUE)</f>
        <v>2</v>
      </c>
      <c r="K384" s="42" t="str">
        <f>VLOOKUP($D384,Sheet1!$A$5:$C$192,2,TRUE)</f>
        <v>)|(</v>
      </c>
      <c r="L384" s="6">
        <f>FLOOR(VLOOKUP($D384,Sheet1!$D$5:$F$192,3,TRUE),1)</f>
        <v>4</v>
      </c>
      <c r="M384" s="42" t="str">
        <f>VLOOKUP($D384,Sheet1!$D$5:$F$192,2,TRUE)</f>
        <v>)|(</v>
      </c>
      <c r="N384" s="23">
        <f>FLOOR(VLOOKUP($D384,Sheet1!$G$5:$I$192,3,TRUE),1)</f>
        <v>5</v>
      </c>
      <c r="O384" s="42" t="str">
        <f>VLOOKUP($D384,Sheet1!$G$5:$I$192,2,TRUE)</f>
        <v>)|(</v>
      </c>
      <c r="P384" s="23">
        <v>1</v>
      </c>
      <c r="Q384" s="43" t="str">
        <f>VLOOKUP($D384,Sheet1!$J$5:$L$192,2,TRUE)</f>
        <v>)|(''</v>
      </c>
      <c r="R384" s="23">
        <f>FLOOR(VLOOKUP($D384,Sheet1!$M$5:$O$192,3,TRUE),1)</f>
        <v>22</v>
      </c>
      <c r="S384" s="43" t="str">
        <f>VLOOKUP($D384,Sheet1!$M$5:$O$192,2,TRUE)</f>
        <v>)|(''</v>
      </c>
      <c r="T384" s="117">
        <f>IF(ABS(D384-VLOOKUP($D384,Sheet1!$M$5:$T$192,8,TRUE))&lt;10^-10,"SoCA",D384-VLOOKUP($D384,Sheet1!$M$5:$T$192,8,TRUE))</f>
        <v>0.26605502578541618</v>
      </c>
      <c r="U384" s="109">
        <f>IF(VLOOKUP($D384,Sheet1!$M$5:$U$192,9,TRUE)=0,"",IF(ABS(D384-VLOOKUP($D384,Sheet1!$M$5:$U$192,9,TRUE))&lt;10^-10,"Alt.",D384-VLOOKUP($D384,Sheet1!$M$5:$U$192,9,TRUE)))</f>
        <v>0.28010719317987309</v>
      </c>
      <c r="V384" s="132">
        <f>$D384-Sheet1!$M$3*$R384</f>
        <v>5.2333292149221222E-2</v>
      </c>
      <c r="Z384" s="6"/>
      <c r="AA384" s="61"/>
    </row>
    <row r="385" spans="1:27" ht="13.5">
      <c r="A385" s="6" t="s">
        <v>1059</v>
      </c>
      <c r="B385" s="6">
        <f>7*23</f>
        <v>161</v>
      </c>
      <c r="C385" s="6">
        <f>2*3^4</f>
        <v>162</v>
      </c>
      <c r="D385" s="13">
        <f t="shared" si="9"/>
        <v>10.719749724009125</v>
      </c>
      <c r="E385" s="61">
        <v>23</v>
      </c>
      <c r="F385" s="65">
        <v>42.25009672002961</v>
      </c>
      <c r="G385" s="6">
        <v>978</v>
      </c>
      <c r="H385" s="6">
        <v>908</v>
      </c>
      <c r="I385" s="65">
        <v>3.3399459553182336</v>
      </c>
      <c r="J385" s="6">
        <f>VLOOKUP($D385,Sheet1!$A$5:$C$192,3,TRUE)</f>
        <v>2</v>
      </c>
      <c r="K385" s="42" t="str">
        <f>VLOOKUP($D385,Sheet1!$A$5:$C$192,2,TRUE)</f>
        <v>)|(</v>
      </c>
      <c r="L385" s="6">
        <f>FLOOR(VLOOKUP($D385,Sheet1!$D$5:$F$192,3,TRUE),1)</f>
        <v>4</v>
      </c>
      <c r="M385" s="42" t="str">
        <f>VLOOKUP($D385,Sheet1!$D$5:$F$192,2,TRUE)</f>
        <v>)|(</v>
      </c>
      <c r="N385" s="23">
        <f>FLOOR(VLOOKUP($D385,Sheet1!$G$5:$I$192,3,TRUE),1)</f>
        <v>5</v>
      </c>
      <c r="O385" s="42" t="str">
        <f>VLOOKUP($D385,Sheet1!$G$5:$I$192,2,TRUE)</f>
        <v>)|(</v>
      </c>
      <c r="P385" s="23">
        <v>1</v>
      </c>
      <c r="Q385" s="43" t="str">
        <f>VLOOKUP($D385,Sheet1!$J$5:$L$192,2,TRUE)</f>
        <v>)|(''</v>
      </c>
      <c r="R385" s="23">
        <f>FLOOR(VLOOKUP($D385,Sheet1!$M$5:$O$192,3,TRUE),1)</f>
        <v>22</v>
      </c>
      <c r="S385" s="42" t="str">
        <f>VLOOKUP($D385,Sheet1!$M$5:$O$192,2,TRUE)</f>
        <v>)|(''</v>
      </c>
      <c r="T385" s="117">
        <f>IF(ABS(D385-VLOOKUP($D385,Sheet1!$M$5:$T$192,8,TRUE))&lt;10^-10,"SoCA",D385-VLOOKUP($D385,Sheet1!$M$5:$T$192,8,TRUE))</f>
        <v>0.19926487708882945</v>
      </c>
      <c r="U385" s="109">
        <f>IF(VLOOKUP($D385,Sheet1!$M$5:$U$192,9,TRUE)=0,"",IF(ABS(D385-VLOOKUP($D385,Sheet1!$M$5:$U$192,9,TRUE))&lt;10^-10,"Alt.",D385-VLOOKUP($D385,Sheet1!$M$5:$U$192,9,TRUE)))</f>
        <v>0.21331704448328637</v>
      </c>
      <c r="V385" s="132">
        <f>$D385-Sheet1!$M$3*$R385</f>
        <v>-1.4456856547365504E-2</v>
      </c>
      <c r="Z385" s="6"/>
      <c r="AA385" s="61"/>
    </row>
    <row r="386" spans="1:27" ht="13.5">
      <c r="A386" s="23" t="s">
        <v>1483</v>
      </c>
      <c r="B386" s="23">
        <f>3^7*11^2</f>
        <v>264627</v>
      </c>
      <c r="C386" s="23">
        <f>2^12*5*13</f>
        <v>266240</v>
      </c>
      <c r="D386" s="13">
        <f t="shared" si="9"/>
        <v>10.52048484692008</v>
      </c>
      <c r="E386" s="61">
        <v>13</v>
      </c>
      <c r="F386" s="65">
        <v>43.391886014540653</v>
      </c>
      <c r="G386" s="6">
        <v>1393</v>
      </c>
      <c r="H386" s="6">
        <v>1332</v>
      </c>
      <c r="I386" s="65">
        <v>-7.6477845802379223</v>
      </c>
      <c r="J386" s="6">
        <f>VLOOKUP($D386,Sheet1!$A$5:$C$192,3,TRUE)</f>
        <v>2</v>
      </c>
      <c r="K386" s="42" t="str">
        <f>VLOOKUP($D386,Sheet1!$A$5:$C$192,2,TRUE)</f>
        <v>)|(</v>
      </c>
      <c r="L386" s="6">
        <f>FLOOR(VLOOKUP($D386,Sheet1!$D$5:$F$192,3,TRUE),1)</f>
        <v>4</v>
      </c>
      <c r="M386" s="42" t="str">
        <f>VLOOKUP($D386,Sheet1!$D$5:$F$192,2,TRUE)</f>
        <v>)|(</v>
      </c>
      <c r="N386" s="23">
        <f>FLOOR(VLOOKUP($D386,Sheet1!$G$5:$I$192,3,TRUE),1)</f>
        <v>5</v>
      </c>
      <c r="O386" s="42" t="str">
        <f>VLOOKUP($D386,Sheet1!$G$5:$I$192,2,TRUE)</f>
        <v>)|(</v>
      </c>
      <c r="P386" s="23">
        <v>1</v>
      </c>
      <c r="Q386" s="43" t="str">
        <f>VLOOKUP($D386,Sheet1!$J$5:$L$192,2,TRUE)</f>
        <v>)|(''</v>
      </c>
      <c r="R386" s="23">
        <f>FLOOR(VLOOKUP($D386,Sheet1!$M$5:$O$192,3,TRUE),1)</f>
        <v>22</v>
      </c>
      <c r="S386" s="43" t="str">
        <f>VLOOKUP($D386,Sheet1!$M$5:$O$192,2,TRUE)</f>
        <v>)|(''</v>
      </c>
      <c r="T386" s="124" t="str">
        <f>IF(ABS(D386-VLOOKUP($D386,Sheet1!$M$5:$T$192,8,TRUE))&lt;10^-10,"SoCA",D386-VLOOKUP($D386,Sheet1!$M$5:$T$192,8,TRUE))</f>
        <v>SoCA</v>
      </c>
      <c r="U386" s="117">
        <f>IF(VLOOKUP($D386,Sheet1!$M$5:$U$192,9,TRUE)=0,"",IF(ABS(D386-VLOOKUP($D386,Sheet1!$M$5:$U$192,9,TRUE))&lt;10^-10,"Alt.",D386-VLOOKUP($D386,Sheet1!$M$5:$U$192,9,TRUE)))</f>
        <v>1.4052167394241977E-2</v>
      </c>
      <c r="V386" s="132">
        <f>$D386-Sheet1!$M$3*$R386</f>
        <v>-0.21372173363640989</v>
      </c>
      <c r="Z386" s="6"/>
      <c r="AA386" s="61"/>
    </row>
    <row r="387" spans="1:27" ht="13.5">
      <c r="A387" s="23" t="s">
        <v>1692</v>
      </c>
      <c r="B387" s="23">
        <f>3^9*7*13</f>
        <v>1791153</v>
      </c>
      <c r="C387" s="23">
        <f>2^15*5*11</f>
        <v>1802240</v>
      </c>
      <c r="D387" s="13">
        <f t="shared" si="9"/>
        <v>10.683080202669222</v>
      </c>
      <c r="E387" s="61">
        <v>13</v>
      </c>
      <c r="F387" s="65">
        <v>49.260372756916553</v>
      </c>
      <c r="G387" s="6">
        <v>1609</v>
      </c>
      <c r="H387" s="6">
        <v>1541</v>
      </c>
      <c r="I387" s="65">
        <v>-9.6577961686585283</v>
      </c>
      <c r="J387" s="6">
        <f>VLOOKUP($D387,Sheet1!$A$5:$C$192,3,TRUE)</f>
        <v>2</v>
      </c>
      <c r="K387" s="42" t="str">
        <f>VLOOKUP($D387,Sheet1!$A$5:$C$192,2,TRUE)</f>
        <v>)|(</v>
      </c>
      <c r="L387" s="6">
        <f>FLOOR(VLOOKUP($D387,Sheet1!$D$5:$F$192,3,TRUE),1)</f>
        <v>4</v>
      </c>
      <c r="M387" s="42" t="str">
        <f>VLOOKUP($D387,Sheet1!$D$5:$F$192,2,TRUE)</f>
        <v>)|(</v>
      </c>
      <c r="N387" s="23">
        <f>FLOOR(VLOOKUP($D387,Sheet1!$G$5:$I$192,3,TRUE),1)</f>
        <v>5</v>
      </c>
      <c r="O387" s="42" t="str">
        <f>VLOOKUP($D387,Sheet1!$G$5:$I$192,2,TRUE)</f>
        <v>)|(</v>
      </c>
      <c r="P387" s="23">
        <v>1</v>
      </c>
      <c r="Q387" s="43" t="str">
        <f>VLOOKUP($D387,Sheet1!$J$5:$L$192,2,TRUE)</f>
        <v>)|(''</v>
      </c>
      <c r="R387" s="23">
        <f>FLOOR(VLOOKUP($D387,Sheet1!$M$5:$O$192,3,TRUE),1)</f>
        <v>22</v>
      </c>
      <c r="S387" s="43" t="str">
        <f>VLOOKUP($D387,Sheet1!$M$5:$O$192,2,TRUE)</f>
        <v>)|(''</v>
      </c>
      <c r="T387" s="117">
        <f>IF(ABS(D387-VLOOKUP($D387,Sheet1!$M$5:$T$192,8,TRUE))&lt;10^-10,"SoCA",D387-VLOOKUP($D387,Sheet1!$M$5:$T$192,8,TRUE))</f>
        <v>0.16259535574892681</v>
      </c>
      <c r="U387" s="117">
        <f>IF(VLOOKUP($D387,Sheet1!$M$5:$U$192,9,TRUE)=0,"",IF(ABS(D387-VLOOKUP($D387,Sheet1!$M$5:$U$192,9,TRUE))&lt;10^-10,"Alt.",D387-VLOOKUP($D387,Sheet1!$M$5:$U$192,9,TRUE)))</f>
        <v>0.17664752314338372</v>
      </c>
      <c r="V387" s="132">
        <f>$D387-Sheet1!$M$3*$R387</f>
        <v>-5.1126377887268148E-2</v>
      </c>
      <c r="Z387" s="6"/>
      <c r="AA387" s="61"/>
    </row>
    <row r="388" spans="1:27" ht="13.5">
      <c r="A388" t="s">
        <v>1450</v>
      </c>
      <c r="B388">
        <v>123904</v>
      </c>
      <c r="C388">
        <v>124659</v>
      </c>
      <c r="D388" s="13">
        <f t="shared" ref="D388:D451" si="10">1200*LN($C388/$B388)/LN(2)</f>
        <v>10.51713832588857</v>
      </c>
      <c r="E388" s="61">
        <v>19</v>
      </c>
      <c r="F388" s="65">
        <v>53.557308942255659</v>
      </c>
      <c r="G388" s="6">
        <v>1364</v>
      </c>
      <c r="H388" s="6">
        <v>1299</v>
      </c>
      <c r="I388" s="65">
        <v>7.3524214772540279</v>
      </c>
      <c r="J388" s="6">
        <f>VLOOKUP($D388,Sheet1!$A$5:$C$192,3,TRUE)</f>
        <v>2</v>
      </c>
      <c r="K388" s="42" t="str">
        <f>VLOOKUP($D388,Sheet1!$A$5:$C$192,2,TRUE)</f>
        <v>)|(</v>
      </c>
      <c r="L388" s="6">
        <f>FLOOR(VLOOKUP($D388,Sheet1!$D$5:$F$192,3,TRUE),1)</f>
        <v>4</v>
      </c>
      <c r="M388" s="42" t="str">
        <f>VLOOKUP($D388,Sheet1!$D$5:$F$192,2,TRUE)</f>
        <v>)|(</v>
      </c>
      <c r="N388" s="23">
        <f>FLOOR(VLOOKUP($D388,Sheet1!$G$5:$I$192,3,TRUE),1)</f>
        <v>5</v>
      </c>
      <c r="O388" s="42" t="str">
        <f>VLOOKUP($D388,Sheet1!$G$5:$I$192,2,TRUE)</f>
        <v>)|(</v>
      </c>
      <c r="P388" s="23">
        <v>1</v>
      </c>
      <c r="Q388" s="43" t="str">
        <f>VLOOKUP($D388,Sheet1!$J$5:$L$192,2,TRUE)</f>
        <v>)|(''</v>
      </c>
      <c r="R388" s="23">
        <f>FLOOR(VLOOKUP($D388,Sheet1!$M$5:$O$192,3,TRUE),1)</f>
        <v>22</v>
      </c>
      <c r="S388" s="42" t="str">
        <f>VLOOKUP($D388,Sheet1!$M$5:$O$192,2,TRUE)</f>
        <v>)|(''</v>
      </c>
      <c r="T388" s="117">
        <f>IF(ABS(D388-VLOOKUP($D388,Sheet1!$M$5:$T$192,8,TRUE))&lt;10^-10,"SoCA",D388-VLOOKUP($D388,Sheet1!$M$5:$T$192,8,TRUE))</f>
        <v>-3.3465210317249472E-3</v>
      </c>
      <c r="U388" s="109">
        <f>IF(VLOOKUP($D388,Sheet1!$M$5:$U$192,9,TRUE)=0,"",IF(ABS(D388-VLOOKUP($D388,Sheet1!$M$5:$U$192,9,TRUE))&lt;10^-10,"Alt.",D388-VLOOKUP($D388,Sheet1!$M$5:$U$192,9,TRUE)))</f>
        <v>1.0705646362731969E-2</v>
      </c>
      <c r="V388" s="132">
        <f>$D388-Sheet1!$M$3*$R388</f>
        <v>-0.2170682546679199</v>
      </c>
      <c r="Z388" s="6"/>
      <c r="AA388" s="61"/>
    </row>
    <row r="389" spans="1:27" ht="13.5">
      <c r="A389" s="21" t="s">
        <v>384</v>
      </c>
      <c r="B389" s="21">
        <f>3*53</f>
        <v>159</v>
      </c>
      <c r="C389" s="21">
        <f>2^5*5</f>
        <v>160</v>
      </c>
      <c r="D389" s="13">
        <f t="shared" si="10"/>
        <v>10.854167523608384</v>
      </c>
      <c r="E389" s="61" t="s">
        <v>1931</v>
      </c>
      <c r="F389" s="65">
        <v>58.058563975590609</v>
      </c>
      <c r="G389" s="6">
        <v>245</v>
      </c>
      <c r="H389" s="6">
        <v>219</v>
      </c>
      <c r="I389" s="65">
        <v>-1.6683306383137988</v>
      </c>
      <c r="J389" s="6">
        <f>VLOOKUP($D389,Sheet1!$A$5:$C$192,3,TRUE)</f>
        <v>2</v>
      </c>
      <c r="K389" s="42" t="str">
        <f>VLOOKUP($D389,Sheet1!$A$5:$C$192,2,TRUE)</f>
        <v>)|(</v>
      </c>
      <c r="L389" s="6">
        <f>FLOOR(VLOOKUP($D389,Sheet1!$D$5:$F$192,3,TRUE),1)</f>
        <v>4</v>
      </c>
      <c r="M389" s="42" t="str">
        <f>VLOOKUP($D389,Sheet1!$D$5:$F$192,2,TRUE)</f>
        <v>)|(</v>
      </c>
      <c r="N389" s="23">
        <f>FLOOR(VLOOKUP($D389,Sheet1!$G$5:$I$192,3,TRUE),1)</f>
        <v>5</v>
      </c>
      <c r="O389" s="42" t="str">
        <f>VLOOKUP($D389,Sheet1!$G$5:$I$192,2,TRUE)</f>
        <v>)|(</v>
      </c>
      <c r="P389" s="23">
        <v>1</v>
      </c>
      <c r="Q389" s="43" t="str">
        <f>VLOOKUP($D389,Sheet1!$J$5:$L$192,2,TRUE)</f>
        <v>)|(''</v>
      </c>
      <c r="R389" s="23">
        <f>FLOOR(VLOOKUP($D389,Sheet1!$M$5:$O$192,3,TRUE),1)</f>
        <v>22</v>
      </c>
      <c r="S389" s="43" t="str">
        <f>VLOOKUP($D389,Sheet1!$M$5:$O$192,2,TRUE)</f>
        <v>)|(''</v>
      </c>
      <c r="T389" s="117">
        <f>IF(ABS(D389-VLOOKUP($D389,Sheet1!$M$5:$T$192,8,TRUE))&lt;10^-10,"SoCA",D389-VLOOKUP($D389,Sheet1!$M$5:$T$192,8,TRUE))</f>
        <v>0.33368267668808826</v>
      </c>
      <c r="U389" s="109">
        <f>IF(VLOOKUP($D389,Sheet1!$M$5:$U$192,9,TRUE)=0,"",IF(ABS(D389-VLOOKUP($D389,Sheet1!$M$5:$U$192,9,TRUE))&lt;10^-10,"Alt.",D389-VLOOKUP($D389,Sheet1!$M$5:$U$192,9,TRUE)))</f>
        <v>0.34773484408254518</v>
      </c>
      <c r="V389" s="132">
        <f>$D389-Sheet1!$M$3*$R389</f>
        <v>0.11996094305189331</v>
      </c>
      <c r="Z389" s="6"/>
      <c r="AA389" s="61"/>
    </row>
    <row r="390" spans="1:27" ht="13.5">
      <c r="A390" t="s">
        <v>902</v>
      </c>
      <c r="B390">
        <v>16671501</v>
      </c>
      <c r="C390">
        <v>16777216</v>
      </c>
      <c r="D390" s="13">
        <f t="shared" si="10"/>
        <v>10.943201012874828</v>
      </c>
      <c r="E390" s="61">
        <v>11</v>
      </c>
      <c r="F390" s="65">
        <v>59.003711747089895</v>
      </c>
      <c r="G390" s="6">
        <v>455</v>
      </c>
      <c r="H390" s="6">
        <v>750</v>
      </c>
      <c r="I390" s="65">
        <v>-9.6738127546145947</v>
      </c>
      <c r="J390" s="6">
        <f>VLOOKUP($D390,Sheet1!$A$5:$C$192,3,TRUE)</f>
        <v>2</v>
      </c>
      <c r="K390" s="42" t="str">
        <f>VLOOKUP($D390,Sheet1!$A$5:$C$192,2,TRUE)</f>
        <v>)|(</v>
      </c>
      <c r="L390" s="6">
        <f>FLOOR(VLOOKUP($D390,Sheet1!$D$5:$F$192,3,TRUE),1)</f>
        <v>4</v>
      </c>
      <c r="M390" s="42" t="str">
        <f>VLOOKUP($D390,Sheet1!$D$5:$F$192,2,TRUE)</f>
        <v>)|(</v>
      </c>
      <c r="N390" s="23">
        <f>FLOOR(VLOOKUP($D390,Sheet1!$G$5:$I$192,3,TRUE),1)</f>
        <v>5</v>
      </c>
      <c r="O390" s="42" t="str">
        <f>VLOOKUP($D390,Sheet1!$G$5:$I$192,2,TRUE)</f>
        <v>)|(</v>
      </c>
      <c r="P390" s="23">
        <v>1</v>
      </c>
      <c r="Q390" s="43" t="str">
        <f>VLOOKUP($D390,Sheet1!$J$5:$L$192,2,TRUE)</f>
        <v>)|(''</v>
      </c>
      <c r="R390" s="23">
        <f>FLOOR(VLOOKUP($D390,Sheet1!$M$5:$O$192,3,TRUE),1)</f>
        <v>22</v>
      </c>
      <c r="S390" s="42" t="str">
        <f>VLOOKUP($D390,Sheet1!$M$5:$O$192,2,TRUE)</f>
        <v>)|(''</v>
      </c>
      <c r="T390" s="117">
        <f>IF(ABS(D390-VLOOKUP($D390,Sheet1!$M$5:$T$192,8,TRUE))&lt;10^-10,"SoCA",D390-VLOOKUP($D390,Sheet1!$M$5:$T$192,8,TRUE))</f>
        <v>0.4227161659545331</v>
      </c>
      <c r="U390" s="109">
        <f>IF(VLOOKUP($D390,Sheet1!$M$5:$U$192,9,TRUE)=0,"",IF(ABS(D390-VLOOKUP($D390,Sheet1!$M$5:$U$192,9,TRUE))&lt;10^-10,"Alt.",D390-VLOOKUP($D390,Sheet1!$M$5:$U$192,9,TRUE)))</f>
        <v>0.43676833334899001</v>
      </c>
      <c r="V390" s="132">
        <f>$D390-Sheet1!$M$3*$R390</f>
        <v>0.20899443231833814</v>
      </c>
      <c r="Z390" s="6"/>
      <c r="AA390" s="61"/>
    </row>
    <row r="391" spans="1:27" ht="13.5">
      <c r="A391" t="s">
        <v>1355</v>
      </c>
      <c r="B391">
        <v>10868</v>
      </c>
      <c r="C391">
        <v>10935</v>
      </c>
      <c r="D391" s="13">
        <f t="shared" si="10"/>
        <v>10.640099656176947</v>
      </c>
      <c r="E391" s="61">
        <v>19</v>
      </c>
      <c r="F391" s="65">
        <v>69.461396484447434</v>
      </c>
      <c r="G391" s="6">
        <v>1269</v>
      </c>
      <c r="H391" s="6">
        <v>1204</v>
      </c>
      <c r="I391" s="65">
        <v>6.3448503001756569</v>
      </c>
      <c r="J391" s="6">
        <f>VLOOKUP($D391,Sheet1!$A$5:$C$192,3,TRUE)</f>
        <v>2</v>
      </c>
      <c r="K391" s="42" t="str">
        <f>VLOOKUP($D391,Sheet1!$A$5:$C$192,2,TRUE)</f>
        <v>)|(</v>
      </c>
      <c r="L391" s="6">
        <f>FLOOR(VLOOKUP($D391,Sheet1!$D$5:$F$192,3,TRUE),1)</f>
        <v>4</v>
      </c>
      <c r="M391" s="42" t="str">
        <f>VLOOKUP($D391,Sheet1!$D$5:$F$192,2,TRUE)</f>
        <v>)|(</v>
      </c>
      <c r="N391" s="23">
        <f>FLOOR(VLOOKUP($D391,Sheet1!$G$5:$I$192,3,TRUE),1)</f>
        <v>5</v>
      </c>
      <c r="O391" s="42" t="str">
        <f>VLOOKUP($D391,Sheet1!$G$5:$I$192,2,TRUE)</f>
        <v>)|(</v>
      </c>
      <c r="P391" s="23">
        <v>1</v>
      </c>
      <c r="Q391" s="43" t="str">
        <f>VLOOKUP($D391,Sheet1!$J$5:$L$192,2,TRUE)</f>
        <v>)|(''</v>
      </c>
      <c r="R391" s="23">
        <f>FLOOR(VLOOKUP($D391,Sheet1!$M$5:$O$192,3,TRUE),1)</f>
        <v>22</v>
      </c>
      <c r="S391" s="42" t="str">
        <f>VLOOKUP($D391,Sheet1!$M$5:$O$192,2,TRUE)</f>
        <v>)|(''</v>
      </c>
      <c r="T391" s="117">
        <f>IF(ABS(D391-VLOOKUP($D391,Sheet1!$M$5:$T$192,8,TRUE))&lt;10^-10,"SoCA",D391-VLOOKUP($D391,Sheet1!$M$5:$T$192,8,TRUE))</f>
        <v>0.11961480925665136</v>
      </c>
      <c r="U391" s="109">
        <f>IF(VLOOKUP($D391,Sheet1!$M$5:$U$192,9,TRUE)=0,"",IF(ABS(D391-VLOOKUP($D391,Sheet1!$M$5:$U$192,9,TRUE))&lt;10^-10,"Alt.",D391-VLOOKUP($D391,Sheet1!$M$5:$U$192,9,TRUE)))</f>
        <v>0.13366697665110827</v>
      </c>
      <c r="V391" s="132">
        <f>$D391-Sheet1!$M$3*$R391</f>
        <v>-9.4106924379543599E-2</v>
      </c>
      <c r="Z391" s="6"/>
      <c r="AA391" s="61"/>
    </row>
    <row r="392" spans="1:27" ht="13.5">
      <c r="A392" t="s">
        <v>671</v>
      </c>
      <c r="B392">
        <v>16281</v>
      </c>
      <c r="C392">
        <v>16384</v>
      </c>
      <c r="D392" s="13">
        <f t="shared" si="10"/>
        <v>10.917967123736133</v>
      </c>
      <c r="E392" s="61" t="s">
        <v>1931</v>
      </c>
      <c r="F392" s="65">
        <v>81.370630964699274</v>
      </c>
      <c r="G392" s="6">
        <v>538</v>
      </c>
      <c r="H392" s="6">
        <v>516</v>
      </c>
      <c r="I392" s="65">
        <v>-5.6722590121282623</v>
      </c>
      <c r="J392" s="6">
        <f>VLOOKUP($D392,Sheet1!$A$5:$C$192,3,TRUE)</f>
        <v>2</v>
      </c>
      <c r="K392" s="42" t="str">
        <f>VLOOKUP($D392,Sheet1!$A$5:$C$192,2,TRUE)</f>
        <v>)|(</v>
      </c>
      <c r="L392" s="6">
        <f>FLOOR(VLOOKUP($D392,Sheet1!$D$5:$F$192,3,TRUE),1)</f>
        <v>4</v>
      </c>
      <c r="M392" s="42" t="str">
        <f>VLOOKUP($D392,Sheet1!$D$5:$F$192,2,TRUE)</f>
        <v>)|(</v>
      </c>
      <c r="N392" s="23">
        <f>FLOOR(VLOOKUP($D392,Sheet1!$G$5:$I$192,3,TRUE),1)</f>
        <v>5</v>
      </c>
      <c r="O392" s="42" t="str">
        <f>VLOOKUP($D392,Sheet1!$G$5:$I$192,2,TRUE)</f>
        <v>)|(</v>
      </c>
      <c r="P392" s="23">
        <v>1</v>
      </c>
      <c r="Q392" s="43" t="str">
        <f>VLOOKUP($D392,Sheet1!$J$5:$L$192,2,TRUE)</f>
        <v>)|(''</v>
      </c>
      <c r="R392" s="23">
        <f>FLOOR(VLOOKUP($D392,Sheet1!$M$5:$O$192,3,TRUE),1)</f>
        <v>22</v>
      </c>
      <c r="S392" s="42" t="str">
        <f>VLOOKUP($D392,Sheet1!$M$5:$O$192,2,TRUE)</f>
        <v>)|(''</v>
      </c>
      <c r="T392" s="117">
        <f>IF(ABS(D392-VLOOKUP($D392,Sheet1!$M$5:$T$192,8,TRUE))&lt;10^-10,"SoCA",D392-VLOOKUP($D392,Sheet1!$M$5:$T$192,8,TRUE))</f>
        <v>0.39748227681583792</v>
      </c>
      <c r="U392" s="109">
        <f>IF(VLOOKUP($D392,Sheet1!$M$5:$U$192,9,TRUE)=0,"",IF(ABS(D392-VLOOKUP($D392,Sheet1!$M$5:$U$192,9,TRUE))&lt;10^-10,"Alt.",D392-VLOOKUP($D392,Sheet1!$M$5:$U$192,9,TRUE)))</f>
        <v>0.41153444421029484</v>
      </c>
      <c r="V392" s="132">
        <f>$D392-Sheet1!$M$3*$R392</f>
        <v>0.18376054317964297</v>
      </c>
      <c r="Z392" s="6"/>
      <c r="AA392" s="61"/>
    </row>
    <row r="393" spans="1:27" ht="13.5">
      <c r="A393" s="6" t="s">
        <v>1827</v>
      </c>
      <c r="B393">
        <v>4428675</v>
      </c>
      <c r="C393">
        <v>4456448</v>
      </c>
      <c r="D393" s="13">
        <f t="shared" si="10"/>
        <v>10.822972251476191</v>
      </c>
      <c r="E393" s="61">
        <v>17</v>
      </c>
      <c r="F393" s="65">
        <v>81.680213425062391</v>
      </c>
      <c r="G393" s="59">
        <v>1571</v>
      </c>
      <c r="H393" s="63">
        <v>1000032</v>
      </c>
      <c r="I393" s="65">
        <v>-11.666409831758056</v>
      </c>
      <c r="J393" s="6">
        <f>VLOOKUP($D393,Sheet1!$A$5:$C$192,3,TRUE)</f>
        <v>2</v>
      </c>
      <c r="K393" s="42" t="str">
        <f>VLOOKUP($D393,Sheet1!$A$5:$C$192,2,TRUE)</f>
        <v>)|(</v>
      </c>
      <c r="L393" s="6">
        <f>FLOOR(VLOOKUP($D393,Sheet1!$D$5:$F$192,3,TRUE),1)</f>
        <v>4</v>
      </c>
      <c r="M393" s="42" t="str">
        <f>VLOOKUP($D393,Sheet1!$D$5:$F$192,2,TRUE)</f>
        <v>)|(</v>
      </c>
      <c r="N393" s="23">
        <f>FLOOR(VLOOKUP($D393,Sheet1!$G$5:$I$192,3,TRUE),1)</f>
        <v>5</v>
      </c>
      <c r="O393" s="42" t="str">
        <f>VLOOKUP($D393,Sheet1!$G$5:$I$192,2,TRUE)</f>
        <v>)|(</v>
      </c>
      <c r="P393" s="23">
        <v>1</v>
      </c>
      <c r="Q393" s="43" t="str">
        <f>VLOOKUP($D393,Sheet1!$J$5:$L$192,2,TRUE)</f>
        <v>)|(''</v>
      </c>
      <c r="R393" s="23">
        <f>FLOOR(VLOOKUP($D393,Sheet1!$M$5:$O$192,3,TRUE),1)</f>
        <v>22</v>
      </c>
      <c r="S393" s="42" t="str">
        <f>VLOOKUP($D393,Sheet1!$M$5:$O$192,2,TRUE)</f>
        <v>)|(''</v>
      </c>
      <c r="T393" s="117">
        <f>IF(ABS(D393-VLOOKUP($D393,Sheet1!$M$5:$T$192,8,TRUE))&lt;10^-10,"SoCA",D393-VLOOKUP($D393,Sheet1!$M$5:$T$192,8,TRUE))</f>
        <v>0.30248740455589562</v>
      </c>
      <c r="U393" s="109">
        <f>IF(VLOOKUP($D393,Sheet1!$M$5:$U$192,9,TRUE)=0,"",IF(ABS(D393-VLOOKUP($D393,Sheet1!$M$5:$U$192,9,TRUE))&lt;10^-10,"Alt.",D393-VLOOKUP($D393,Sheet1!$M$5:$U$192,9,TRUE)))</f>
        <v>0.31653957195035254</v>
      </c>
      <c r="V393" s="132">
        <f>$D393-Sheet1!$M$3*$R393</f>
        <v>8.8765670919700668E-2</v>
      </c>
      <c r="Z393" s="6"/>
      <c r="AA393" s="61"/>
    </row>
    <row r="394" spans="1:27" ht="13.5">
      <c r="A394" t="s">
        <v>898</v>
      </c>
      <c r="B394">
        <v>1310720</v>
      </c>
      <c r="C394">
        <v>1318761</v>
      </c>
      <c r="D394" s="13">
        <f t="shared" si="10"/>
        <v>10.588322472978938</v>
      </c>
      <c r="E394" s="61" t="s">
        <v>1931</v>
      </c>
      <c r="F394" s="65">
        <v>81.960637250972496</v>
      </c>
      <c r="G394" s="6">
        <v>605</v>
      </c>
      <c r="H394" s="6">
        <v>746</v>
      </c>
      <c r="I394" s="65">
        <v>8.348038409979706</v>
      </c>
      <c r="J394" s="6">
        <f>VLOOKUP($D394,Sheet1!$A$5:$C$192,3,TRUE)</f>
        <v>2</v>
      </c>
      <c r="K394" s="42" t="str">
        <f>VLOOKUP($D394,Sheet1!$A$5:$C$192,2,TRUE)</f>
        <v>)|(</v>
      </c>
      <c r="L394" s="6">
        <f>FLOOR(VLOOKUP($D394,Sheet1!$D$5:$F$192,3,TRUE),1)</f>
        <v>4</v>
      </c>
      <c r="M394" s="42" t="str">
        <f>VLOOKUP($D394,Sheet1!$D$5:$F$192,2,TRUE)</f>
        <v>)|(</v>
      </c>
      <c r="N394" s="23">
        <f>FLOOR(VLOOKUP($D394,Sheet1!$G$5:$I$192,3,TRUE),1)</f>
        <v>5</v>
      </c>
      <c r="O394" s="42" t="str">
        <f>VLOOKUP($D394,Sheet1!$G$5:$I$192,2,TRUE)</f>
        <v>)|(</v>
      </c>
      <c r="P394" s="23">
        <v>1</v>
      </c>
      <c r="Q394" s="43" t="str">
        <f>VLOOKUP($D394,Sheet1!$J$5:$L$192,2,TRUE)</f>
        <v>)|(''</v>
      </c>
      <c r="R394" s="23">
        <f>FLOOR(VLOOKUP($D394,Sheet1!$M$5:$O$192,3,TRUE),1)</f>
        <v>22</v>
      </c>
      <c r="S394" s="42" t="str">
        <f>VLOOKUP($D394,Sheet1!$M$5:$O$192,2,TRUE)</f>
        <v>)|(''</v>
      </c>
      <c r="T394" s="117">
        <f>IF(ABS(D394-VLOOKUP($D394,Sheet1!$M$5:$T$192,8,TRUE))&lt;10^-10,"SoCA",D394-VLOOKUP($D394,Sheet1!$M$5:$T$192,8,TRUE))</f>
        <v>6.7837626058642186E-2</v>
      </c>
      <c r="U394" s="109">
        <f>IF(VLOOKUP($D394,Sheet1!$M$5:$U$192,9,TRUE)=0,"",IF(ABS(D394-VLOOKUP($D394,Sheet1!$M$5:$U$192,9,TRUE))&lt;10^-10,"Alt.",D394-VLOOKUP($D394,Sheet1!$M$5:$U$192,9,TRUE)))</f>
        <v>8.1889793453099102E-2</v>
      </c>
      <c r="V394" s="132">
        <f>$D394-Sheet1!$M$3*$R394</f>
        <v>-0.14588410757755277</v>
      </c>
      <c r="Z394" s="6"/>
      <c r="AA394" s="61"/>
    </row>
    <row r="395" spans="1:27" ht="13.5">
      <c r="A395" t="s">
        <v>761</v>
      </c>
      <c r="B395">
        <v>158</v>
      </c>
      <c r="C395">
        <v>159</v>
      </c>
      <c r="D395" s="13">
        <f t="shared" si="10"/>
        <v>10.922648528702982</v>
      </c>
      <c r="E395" s="61" t="s">
        <v>1931</v>
      </c>
      <c r="F395" s="65">
        <v>132.04403250316551</v>
      </c>
      <c r="G395" s="6">
        <v>656</v>
      </c>
      <c r="H395" s="6">
        <v>607</v>
      </c>
      <c r="I395" s="65">
        <v>0.32745273671264197</v>
      </c>
      <c r="J395" s="6">
        <f>VLOOKUP($D395,Sheet1!$A$5:$C$192,3,TRUE)</f>
        <v>2</v>
      </c>
      <c r="K395" s="42" t="str">
        <f>VLOOKUP($D395,Sheet1!$A$5:$C$192,2,TRUE)</f>
        <v>)|(</v>
      </c>
      <c r="L395" s="6">
        <f>FLOOR(VLOOKUP($D395,Sheet1!$D$5:$F$192,3,TRUE),1)</f>
        <v>4</v>
      </c>
      <c r="M395" s="42" t="str">
        <f>VLOOKUP($D395,Sheet1!$D$5:$F$192,2,TRUE)</f>
        <v>)|(</v>
      </c>
      <c r="N395" s="23">
        <f>FLOOR(VLOOKUP($D395,Sheet1!$G$5:$I$192,3,TRUE),1)</f>
        <v>5</v>
      </c>
      <c r="O395" s="42" t="str">
        <f>VLOOKUP($D395,Sheet1!$G$5:$I$192,2,TRUE)</f>
        <v>)|(</v>
      </c>
      <c r="P395" s="23">
        <v>1</v>
      </c>
      <c r="Q395" s="43" t="str">
        <f>VLOOKUP($D395,Sheet1!$J$5:$L$192,2,TRUE)</f>
        <v>)|(''</v>
      </c>
      <c r="R395" s="23">
        <f>FLOOR(VLOOKUP($D395,Sheet1!$M$5:$O$192,3,TRUE),1)</f>
        <v>22</v>
      </c>
      <c r="S395" s="42" t="str">
        <f>VLOOKUP($D395,Sheet1!$M$5:$O$192,2,TRUE)</f>
        <v>)|(''</v>
      </c>
      <c r="T395" s="117">
        <f>IF(ABS(D395-VLOOKUP($D395,Sheet1!$M$5:$T$192,8,TRUE))&lt;10^-10,"SoCA",D395-VLOOKUP($D395,Sheet1!$M$5:$T$192,8,TRUE))</f>
        <v>0.40216368178268702</v>
      </c>
      <c r="U395" s="109">
        <f>IF(VLOOKUP($D395,Sheet1!$M$5:$U$192,9,TRUE)=0,"",IF(ABS(D395-VLOOKUP($D395,Sheet1!$M$5:$U$192,9,TRUE))&lt;10^-10,"Alt.",D395-VLOOKUP($D395,Sheet1!$M$5:$U$192,9,TRUE)))</f>
        <v>0.41621584917714394</v>
      </c>
      <c r="V395" s="132">
        <f>$D395-Sheet1!$M$3*$R395</f>
        <v>0.18844194814649207</v>
      </c>
      <c r="Z395" s="6"/>
      <c r="AA395" s="61"/>
    </row>
    <row r="396" spans="1:27" ht="13.5">
      <c r="A396" t="s">
        <v>1203</v>
      </c>
      <c r="B396">
        <v>102789</v>
      </c>
      <c r="C396">
        <v>103424</v>
      </c>
      <c r="D396" s="13">
        <f t="shared" si="10"/>
        <v>10.662151231277045</v>
      </c>
      <c r="E396" s="61" t="s">
        <v>1931</v>
      </c>
      <c r="F396" s="65">
        <v>152.5639182172487</v>
      </c>
      <c r="G396" s="6">
        <v>974</v>
      </c>
      <c r="H396" s="6">
        <v>1052</v>
      </c>
      <c r="I396" s="65">
        <v>-7.6565074956415184</v>
      </c>
      <c r="J396" s="6">
        <f>VLOOKUP($D396,Sheet1!$A$5:$C$192,3,TRUE)</f>
        <v>2</v>
      </c>
      <c r="K396" s="42" t="str">
        <f>VLOOKUP($D396,Sheet1!$A$5:$C$192,2,TRUE)</f>
        <v>)|(</v>
      </c>
      <c r="L396" s="6">
        <f>FLOOR(VLOOKUP($D396,Sheet1!$D$5:$F$192,3,TRUE),1)</f>
        <v>4</v>
      </c>
      <c r="M396" s="42" t="str">
        <f>VLOOKUP($D396,Sheet1!$D$5:$F$192,2,TRUE)</f>
        <v>)|(</v>
      </c>
      <c r="N396" s="23">
        <f>FLOOR(VLOOKUP($D396,Sheet1!$G$5:$I$192,3,TRUE),1)</f>
        <v>5</v>
      </c>
      <c r="O396" s="42" t="str">
        <f>VLOOKUP($D396,Sheet1!$G$5:$I$192,2,TRUE)</f>
        <v>)|(</v>
      </c>
      <c r="P396" s="23">
        <v>1</v>
      </c>
      <c r="Q396" s="43" t="str">
        <f>VLOOKUP($D396,Sheet1!$J$5:$L$192,2,TRUE)</f>
        <v>)|(''</v>
      </c>
      <c r="R396" s="23">
        <f>FLOOR(VLOOKUP($D396,Sheet1!$M$5:$O$192,3,TRUE),1)</f>
        <v>22</v>
      </c>
      <c r="S396" s="42" t="str">
        <f>VLOOKUP($D396,Sheet1!$M$5:$O$192,2,TRUE)</f>
        <v>)|(''</v>
      </c>
      <c r="T396" s="117">
        <f>IF(ABS(D396-VLOOKUP($D396,Sheet1!$M$5:$T$192,8,TRUE))&lt;10^-10,"SoCA",D396-VLOOKUP($D396,Sheet1!$M$5:$T$192,8,TRUE))</f>
        <v>0.14166638435674983</v>
      </c>
      <c r="U396" s="109">
        <f>IF(VLOOKUP($D396,Sheet1!$M$5:$U$192,9,TRUE)=0,"",IF(ABS(D396-VLOOKUP($D396,Sheet1!$M$5:$U$192,9,TRUE))&lt;10^-10,"Alt.",D396-VLOOKUP($D396,Sheet1!$M$5:$U$192,9,TRUE)))</f>
        <v>0.15571855175120675</v>
      </c>
      <c r="V396" s="132">
        <f>$D396-Sheet1!$M$3*$R396</f>
        <v>-7.2055349279445124E-2</v>
      </c>
      <c r="Z396" s="6"/>
      <c r="AA396" s="61"/>
    </row>
    <row r="397" spans="1:27" ht="13.5">
      <c r="A397" t="s">
        <v>963</v>
      </c>
      <c r="B397">
        <v>1744</v>
      </c>
      <c r="C397">
        <v>1755</v>
      </c>
      <c r="D397" s="13">
        <f t="shared" si="10"/>
        <v>10.885188497995898</v>
      </c>
      <c r="E397" s="61" t="s">
        <v>1931</v>
      </c>
      <c r="F397" s="65">
        <v>152.57487032244595</v>
      </c>
      <c r="G397" s="6">
        <v>874</v>
      </c>
      <c r="H397" s="6">
        <v>811</v>
      </c>
      <c r="I397" s="65">
        <v>2.3297592872775992</v>
      </c>
      <c r="J397" s="6">
        <f>VLOOKUP($D397,Sheet1!$A$5:$C$192,3,TRUE)</f>
        <v>2</v>
      </c>
      <c r="K397" s="42" t="str">
        <f>VLOOKUP($D397,Sheet1!$A$5:$C$192,2,TRUE)</f>
        <v>)|(</v>
      </c>
      <c r="L397" s="6">
        <f>FLOOR(VLOOKUP($D397,Sheet1!$D$5:$F$192,3,TRUE),1)</f>
        <v>4</v>
      </c>
      <c r="M397" s="42" t="str">
        <f>VLOOKUP($D397,Sheet1!$D$5:$F$192,2,TRUE)</f>
        <v>)|(</v>
      </c>
      <c r="N397" s="23">
        <f>FLOOR(VLOOKUP($D397,Sheet1!$G$5:$I$192,3,TRUE),1)</f>
        <v>5</v>
      </c>
      <c r="O397" s="42" t="str">
        <f>VLOOKUP($D397,Sheet1!$G$5:$I$192,2,TRUE)</f>
        <v>)|(</v>
      </c>
      <c r="P397" s="23">
        <v>1</v>
      </c>
      <c r="Q397" s="43" t="str">
        <f>VLOOKUP($D397,Sheet1!$J$5:$L$192,2,TRUE)</f>
        <v>)|(''</v>
      </c>
      <c r="R397" s="23">
        <f>FLOOR(VLOOKUP($D397,Sheet1!$M$5:$O$192,3,TRUE),1)</f>
        <v>22</v>
      </c>
      <c r="S397" s="42" t="str">
        <f>VLOOKUP($D397,Sheet1!$M$5:$O$192,2,TRUE)</f>
        <v>)|(''</v>
      </c>
      <c r="T397" s="117">
        <f>IF(ABS(D397-VLOOKUP($D397,Sheet1!$M$5:$T$192,8,TRUE))&lt;10^-10,"SoCA",D397-VLOOKUP($D397,Sheet1!$M$5:$T$192,8,TRUE))</f>
        <v>0.36470365107560276</v>
      </c>
      <c r="U397" s="109">
        <f>IF(VLOOKUP($D397,Sheet1!$M$5:$U$192,9,TRUE)=0,"",IF(ABS(D397-VLOOKUP($D397,Sheet1!$M$5:$U$192,9,TRUE))&lt;10^-10,"Alt.",D397-VLOOKUP($D397,Sheet1!$M$5:$U$192,9,TRUE)))</f>
        <v>0.37875581847005968</v>
      </c>
      <c r="V397" s="132">
        <f>$D397-Sheet1!$M$3*$R397</f>
        <v>0.15098191743940781</v>
      </c>
      <c r="Z397" s="6"/>
      <c r="AA397" s="61"/>
    </row>
    <row r="398" spans="1:27" ht="13.5">
      <c r="A398" t="s">
        <v>1058</v>
      </c>
      <c r="B398">
        <v>7808</v>
      </c>
      <c r="C398">
        <v>7857</v>
      </c>
      <c r="D398" s="13">
        <f t="shared" si="10"/>
        <v>10.830609010639293</v>
      </c>
      <c r="E398" s="61" t="s">
        <v>1931</v>
      </c>
      <c r="F398" s="65">
        <v>158.36556802404178</v>
      </c>
      <c r="G398" s="6">
        <v>977</v>
      </c>
      <c r="H398" s="6">
        <v>907</v>
      </c>
      <c r="I398" s="65">
        <v>3.3331199451580438</v>
      </c>
      <c r="J398" s="6">
        <f>VLOOKUP($D398,Sheet1!$A$5:$C$192,3,TRUE)</f>
        <v>2</v>
      </c>
      <c r="K398" s="42" t="str">
        <f>VLOOKUP($D398,Sheet1!$A$5:$C$192,2,TRUE)</f>
        <v>)|(</v>
      </c>
      <c r="L398" s="6">
        <f>FLOOR(VLOOKUP($D398,Sheet1!$D$5:$F$192,3,TRUE),1)</f>
        <v>4</v>
      </c>
      <c r="M398" s="42" t="str">
        <f>VLOOKUP($D398,Sheet1!$D$5:$F$192,2,TRUE)</f>
        <v>)|(</v>
      </c>
      <c r="N398" s="23">
        <f>FLOOR(VLOOKUP($D398,Sheet1!$G$5:$I$192,3,TRUE),1)</f>
        <v>5</v>
      </c>
      <c r="O398" s="42" t="str">
        <f>VLOOKUP($D398,Sheet1!$G$5:$I$192,2,TRUE)</f>
        <v>)|(</v>
      </c>
      <c r="P398" s="23">
        <v>1</v>
      </c>
      <c r="Q398" s="43" t="str">
        <f>VLOOKUP($D398,Sheet1!$J$5:$L$192,2,TRUE)</f>
        <v>)|(''</v>
      </c>
      <c r="R398" s="23">
        <f>FLOOR(VLOOKUP($D398,Sheet1!$M$5:$O$192,3,TRUE),1)</f>
        <v>22</v>
      </c>
      <c r="S398" s="42" t="str">
        <f>VLOOKUP($D398,Sheet1!$M$5:$O$192,2,TRUE)</f>
        <v>)|(''</v>
      </c>
      <c r="T398" s="117">
        <f>IF(ABS(D398-VLOOKUP($D398,Sheet1!$M$5:$T$192,8,TRUE))&lt;10^-10,"SoCA",D398-VLOOKUP($D398,Sheet1!$M$5:$T$192,8,TRUE))</f>
        <v>0.31012416371899754</v>
      </c>
      <c r="U398" s="109">
        <f>IF(VLOOKUP($D398,Sheet1!$M$5:$U$192,9,TRUE)=0,"",IF(ABS(D398-VLOOKUP($D398,Sheet1!$M$5:$U$192,9,TRUE))&lt;10^-10,"Alt.",D398-VLOOKUP($D398,Sheet1!$M$5:$U$192,9,TRUE)))</f>
        <v>0.32417633111345445</v>
      </c>
      <c r="V398" s="132">
        <f>$D398-Sheet1!$M$3*$R398</f>
        <v>9.6402430082802582E-2</v>
      </c>
      <c r="Z398" s="6"/>
      <c r="AA398" s="61"/>
    </row>
    <row r="399" spans="1:27" ht="13.5">
      <c r="A399" t="s">
        <v>1742</v>
      </c>
      <c r="B399">
        <v>24117248</v>
      </c>
      <c r="C399">
        <v>24269139</v>
      </c>
      <c r="D399" s="13">
        <f t="shared" si="10"/>
        <v>10.869161803478026</v>
      </c>
      <c r="E399" s="61" t="s">
        <v>1931</v>
      </c>
      <c r="F399" s="65">
        <v>206.8774390415164</v>
      </c>
      <c r="G399" s="6">
        <v>1489</v>
      </c>
      <c r="H399" s="6">
        <v>1591</v>
      </c>
      <c r="I399" s="65">
        <v>10.330746109247492</v>
      </c>
      <c r="J399" s="6">
        <f>VLOOKUP($D399,Sheet1!$A$5:$C$192,3,TRUE)</f>
        <v>2</v>
      </c>
      <c r="K399" s="42" t="str">
        <f>VLOOKUP($D399,Sheet1!$A$5:$C$192,2,TRUE)</f>
        <v>)|(</v>
      </c>
      <c r="L399" s="6">
        <f>FLOOR(VLOOKUP($D399,Sheet1!$D$5:$F$192,3,TRUE),1)</f>
        <v>4</v>
      </c>
      <c r="M399" s="42" t="str">
        <f>VLOOKUP($D399,Sheet1!$D$5:$F$192,2,TRUE)</f>
        <v>)|(</v>
      </c>
      <c r="N399" s="23">
        <f>FLOOR(VLOOKUP($D399,Sheet1!$G$5:$I$192,3,TRUE),1)</f>
        <v>5</v>
      </c>
      <c r="O399" s="42" t="str">
        <f>VLOOKUP($D399,Sheet1!$G$5:$I$192,2,TRUE)</f>
        <v>)|(</v>
      </c>
      <c r="P399" s="23">
        <v>1</v>
      </c>
      <c r="Q399" s="43" t="str">
        <f>VLOOKUP($D399,Sheet1!$J$5:$L$192,2,TRUE)</f>
        <v>)|(''</v>
      </c>
      <c r="R399" s="23">
        <f>FLOOR(VLOOKUP($D399,Sheet1!$M$5:$O$192,3,TRUE),1)</f>
        <v>22</v>
      </c>
      <c r="S399" s="42" t="str">
        <f>VLOOKUP($D399,Sheet1!$M$5:$O$192,2,TRUE)</f>
        <v>)|(''</v>
      </c>
      <c r="T399" s="117">
        <f>IF(ABS(D399-VLOOKUP($D399,Sheet1!$M$5:$T$192,8,TRUE))&lt;10^-10,"SoCA",D399-VLOOKUP($D399,Sheet1!$M$5:$T$192,8,TRUE))</f>
        <v>0.34867695655773012</v>
      </c>
      <c r="U399" s="109">
        <f>IF(VLOOKUP($D399,Sheet1!$M$5:$U$192,9,TRUE)=0,"",IF(ABS(D399-VLOOKUP($D399,Sheet1!$M$5:$U$192,9,TRUE))&lt;10^-10,"Alt.",D399-VLOOKUP($D399,Sheet1!$M$5:$U$192,9,TRUE)))</f>
        <v>0.36272912395218704</v>
      </c>
      <c r="V399" s="132">
        <f>$D399-Sheet1!$M$3*$R399</f>
        <v>0.13495522292153517</v>
      </c>
      <c r="Z399" s="6"/>
      <c r="AA399" s="61"/>
    </row>
    <row r="400" spans="1:27" ht="13.5">
      <c r="A400" t="s">
        <v>1385</v>
      </c>
      <c r="B400">
        <v>906147</v>
      </c>
      <c r="C400">
        <v>911872</v>
      </c>
      <c r="D400" s="13">
        <f t="shared" si="10"/>
        <v>10.903458866636099</v>
      </c>
      <c r="E400" s="61" t="s">
        <v>1931</v>
      </c>
      <c r="F400" s="65">
        <v>276.5758729579569</v>
      </c>
      <c r="G400" s="6">
        <v>1298</v>
      </c>
      <c r="H400" s="6">
        <v>1234</v>
      </c>
      <c r="I400" s="65">
        <v>-6.6713656858821544</v>
      </c>
      <c r="J400" s="6">
        <f>VLOOKUP($D400,Sheet1!$A$5:$C$192,3,TRUE)</f>
        <v>2</v>
      </c>
      <c r="K400" s="42" t="str">
        <f>VLOOKUP($D400,Sheet1!$A$5:$C$192,2,TRUE)</f>
        <v>)|(</v>
      </c>
      <c r="L400" s="6">
        <f>FLOOR(VLOOKUP($D400,Sheet1!$D$5:$F$192,3,TRUE),1)</f>
        <v>4</v>
      </c>
      <c r="M400" s="42" t="str">
        <f>VLOOKUP($D400,Sheet1!$D$5:$F$192,2,TRUE)</f>
        <v>)|(</v>
      </c>
      <c r="N400" s="23">
        <f>FLOOR(VLOOKUP($D400,Sheet1!$G$5:$I$192,3,TRUE),1)</f>
        <v>5</v>
      </c>
      <c r="O400" s="42" t="str">
        <f>VLOOKUP($D400,Sheet1!$G$5:$I$192,2,TRUE)</f>
        <v>)|(</v>
      </c>
      <c r="P400" s="23">
        <v>1</v>
      </c>
      <c r="Q400" s="43" t="str">
        <f>VLOOKUP($D400,Sheet1!$J$5:$L$192,2,TRUE)</f>
        <v>)|(''</v>
      </c>
      <c r="R400" s="23">
        <f>FLOOR(VLOOKUP($D400,Sheet1!$M$5:$O$192,3,TRUE),1)</f>
        <v>22</v>
      </c>
      <c r="S400" s="42" t="str">
        <f>VLOOKUP($D400,Sheet1!$M$5:$O$192,2,TRUE)</f>
        <v>)|(''</v>
      </c>
      <c r="T400" s="117">
        <f>IF(ABS(D400-VLOOKUP($D400,Sheet1!$M$5:$T$192,8,TRUE))&lt;10^-10,"SoCA",D400-VLOOKUP($D400,Sheet1!$M$5:$T$192,8,TRUE))</f>
        <v>0.38297401971580314</v>
      </c>
      <c r="U400" s="109">
        <f>IF(VLOOKUP($D400,Sheet1!$M$5:$U$192,9,TRUE)=0,"",IF(ABS(D400-VLOOKUP($D400,Sheet1!$M$5:$U$192,9,TRUE))&lt;10^-10,"Alt.",D400-VLOOKUP($D400,Sheet1!$M$5:$U$192,9,TRUE)))</f>
        <v>0.39702618711026005</v>
      </c>
      <c r="V400" s="132">
        <f>$D400-Sheet1!$M$3*$R400</f>
        <v>0.16925228607960818</v>
      </c>
      <c r="Z400" s="6"/>
      <c r="AA400" s="61"/>
    </row>
    <row r="401" spans="1:27" ht="13.5">
      <c r="A401" t="s">
        <v>1262</v>
      </c>
      <c r="B401">
        <v>18112</v>
      </c>
      <c r="C401">
        <v>18225</v>
      </c>
      <c r="D401" s="13">
        <f t="shared" si="10"/>
        <v>10.767541523735241</v>
      </c>
      <c r="E401" s="61" t="s">
        <v>1931</v>
      </c>
      <c r="F401" s="65">
        <v>353.24025265961802</v>
      </c>
      <c r="G401" s="6">
        <v>1167</v>
      </c>
      <c r="H401" s="6">
        <v>1111</v>
      </c>
      <c r="I401" s="65">
        <v>5.3370032400940906</v>
      </c>
      <c r="J401" s="6">
        <f>VLOOKUP($D401,Sheet1!$A$5:$C$192,3,TRUE)</f>
        <v>2</v>
      </c>
      <c r="K401" s="42" t="str">
        <f>VLOOKUP($D401,Sheet1!$A$5:$C$192,2,TRUE)</f>
        <v>)|(</v>
      </c>
      <c r="L401" s="6">
        <f>FLOOR(VLOOKUP($D401,Sheet1!$D$5:$F$192,3,TRUE),1)</f>
        <v>4</v>
      </c>
      <c r="M401" s="42" t="str">
        <f>VLOOKUP($D401,Sheet1!$D$5:$F$192,2,TRUE)</f>
        <v>)|(</v>
      </c>
      <c r="N401" s="23">
        <f>FLOOR(VLOOKUP($D401,Sheet1!$G$5:$I$192,3,TRUE),1)</f>
        <v>5</v>
      </c>
      <c r="O401" s="42" t="str">
        <f>VLOOKUP($D401,Sheet1!$G$5:$I$192,2,TRUE)</f>
        <v>)|(</v>
      </c>
      <c r="P401" s="23">
        <v>1</v>
      </c>
      <c r="Q401" s="43" t="str">
        <f>VLOOKUP($D401,Sheet1!$J$5:$L$192,2,TRUE)</f>
        <v>)|(''</v>
      </c>
      <c r="R401" s="23">
        <f>FLOOR(VLOOKUP($D401,Sheet1!$M$5:$O$192,3,TRUE),1)</f>
        <v>22</v>
      </c>
      <c r="S401" s="42" t="str">
        <f>VLOOKUP($D401,Sheet1!$M$5:$O$192,2,TRUE)</f>
        <v>)|(''</v>
      </c>
      <c r="T401" s="117">
        <f>IF(ABS(D401-VLOOKUP($D401,Sheet1!$M$5:$T$192,8,TRUE))&lt;10^-10,"SoCA",D401-VLOOKUP($D401,Sheet1!$M$5:$T$192,8,TRUE))</f>
        <v>0.24705667681494603</v>
      </c>
      <c r="U401" s="109">
        <f>IF(VLOOKUP($D401,Sheet1!$M$5:$U$192,9,TRUE)=0,"",IF(ABS(D401-VLOOKUP($D401,Sheet1!$M$5:$U$192,9,TRUE))&lt;10^-10,"Alt.",D401-VLOOKUP($D401,Sheet1!$M$5:$U$192,9,TRUE)))</f>
        <v>0.26110884420940295</v>
      </c>
      <c r="V401" s="132">
        <f>$D401-Sheet1!$M$3*$R401</f>
        <v>3.3334943178751075E-2</v>
      </c>
      <c r="Z401" s="6"/>
      <c r="AA401" s="61"/>
    </row>
    <row r="402" spans="1:27" ht="13.5">
      <c r="A402" t="s">
        <v>1161</v>
      </c>
      <c r="B402">
        <v>663424</v>
      </c>
      <c r="C402">
        <v>667521</v>
      </c>
      <c r="D402" s="13">
        <f t="shared" si="10"/>
        <v>10.658424356325289</v>
      </c>
      <c r="E402" s="61" t="s">
        <v>1931</v>
      </c>
      <c r="F402" s="65">
        <v>6350.4387225109449</v>
      </c>
      <c r="G402" s="6">
        <v>1063</v>
      </c>
      <c r="H402" s="6">
        <v>1010</v>
      </c>
      <c r="I402" s="65">
        <v>4.3437219816270058</v>
      </c>
      <c r="J402" s="6">
        <f>VLOOKUP($D402,Sheet1!$A$5:$C$192,3,TRUE)</f>
        <v>2</v>
      </c>
      <c r="K402" s="42" t="str">
        <f>VLOOKUP($D402,Sheet1!$A$5:$C$192,2,TRUE)</f>
        <v>)|(</v>
      </c>
      <c r="L402" s="6">
        <f>FLOOR(VLOOKUP($D402,Sheet1!$D$5:$F$192,3,TRUE),1)</f>
        <v>4</v>
      </c>
      <c r="M402" s="42" t="str">
        <f>VLOOKUP($D402,Sheet1!$D$5:$F$192,2,TRUE)</f>
        <v>)|(</v>
      </c>
      <c r="N402" s="23">
        <f>FLOOR(VLOOKUP($D402,Sheet1!$G$5:$I$192,3,TRUE),1)</f>
        <v>5</v>
      </c>
      <c r="O402" s="42" t="str">
        <f>VLOOKUP($D402,Sheet1!$G$5:$I$192,2,TRUE)</f>
        <v>)|(</v>
      </c>
      <c r="P402" s="23">
        <v>1</v>
      </c>
      <c r="Q402" s="43" t="str">
        <f>VLOOKUP($D402,Sheet1!$J$5:$L$192,2,TRUE)</f>
        <v>)|(''</v>
      </c>
      <c r="R402" s="23">
        <f>FLOOR(VLOOKUP($D402,Sheet1!$M$5:$O$192,3,TRUE),1)</f>
        <v>22</v>
      </c>
      <c r="S402" s="42" t="str">
        <f>VLOOKUP($D402,Sheet1!$M$5:$O$192,2,TRUE)</f>
        <v>)|(''</v>
      </c>
      <c r="T402" s="117">
        <f>IF(ABS(D402-VLOOKUP($D402,Sheet1!$M$5:$T$192,8,TRUE))&lt;10^-10,"SoCA",D402-VLOOKUP($D402,Sheet1!$M$5:$T$192,8,TRUE))</f>
        <v>0.137939509404994</v>
      </c>
      <c r="U402" s="109">
        <f>IF(VLOOKUP($D402,Sheet1!$M$5:$U$192,9,TRUE)=0,"",IF(ABS(D402-VLOOKUP($D402,Sheet1!$M$5:$U$192,9,TRUE))&lt;10^-10,"Alt.",D402-VLOOKUP($D402,Sheet1!$M$5:$U$192,9,TRUE)))</f>
        <v>0.15199167679945091</v>
      </c>
      <c r="V402" s="132">
        <f>$D402-Sheet1!$M$3*$R402</f>
        <v>-7.5782224231200956E-2</v>
      </c>
      <c r="Z402" s="6"/>
      <c r="AA402" s="61"/>
    </row>
    <row r="403" spans="1:27" ht="13.5">
      <c r="A403" t="s">
        <v>596</v>
      </c>
      <c r="B403">
        <v>413449</v>
      </c>
      <c r="C403">
        <v>416025</v>
      </c>
      <c r="D403" s="13">
        <f t="shared" si="10"/>
        <v>10.753015158405942</v>
      </c>
      <c r="E403" s="61" t="s">
        <v>1931</v>
      </c>
      <c r="F403" s="65">
        <v>661672.23318308452</v>
      </c>
      <c r="G403" s="6">
        <v>478</v>
      </c>
      <c r="H403" s="6">
        <v>441</v>
      </c>
      <c r="I403" s="65">
        <v>1.3378976813298458</v>
      </c>
      <c r="J403" s="6">
        <f>VLOOKUP($D403,Sheet1!$A$5:$C$192,3,TRUE)</f>
        <v>2</v>
      </c>
      <c r="K403" s="42" t="str">
        <f>VLOOKUP($D403,Sheet1!$A$5:$C$192,2,TRUE)</f>
        <v>)|(</v>
      </c>
      <c r="L403" s="6">
        <f>FLOOR(VLOOKUP($D403,Sheet1!$D$5:$F$192,3,TRUE),1)</f>
        <v>4</v>
      </c>
      <c r="M403" s="42" t="str">
        <f>VLOOKUP($D403,Sheet1!$D$5:$F$192,2,TRUE)</f>
        <v>)|(</v>
      </c>
      <c r="N403" s="23">
        <f>FLOOR(VLOOKUP($D403,Sheet1!$G$5:$I$192,3,TRUE),1)</f>
        <v>5</v>
      </c>
      <c r="O403" s="42" t="str">
        <f>VLOOKUP($D403,Sheet1!$G$5:$I$192,2,TRUE)</f>
        <v>)|(</v>
      </c>
      <c r="P403" s="23">
        <v>1</v>
      </c>
      <c r="Q403" s="43" t="str">
        <f>VLOOKUP($D403,Sheet1!$J$5:$L$192,2,TRUE)</f>
        <v>)|(''</v>
      </c>
      <c r="R403" s="23">
        <f>FLOOR(VLOOKUP($D403,Sheet1!$M$5:$O$192,3,TRUE),1)</f>
        <v>22</v>
      </c>
      <c r="S403" s="42" t="str">
        <f>VLOOKUP($D403,Sheet1!$M$5:$O$192,2,TRUE)</f>
        <v>)|(''</v>
      </c>
      <c r="T403" s="117">
        <f>IF(ABS(D403-VLOOKUP($D403,Sheet1!$M$5:$T$192,8,TRUE))&lt;10^-10,"SoCA",D403-VLOOKUP($D403,Sheet1!$M$5:$T$192,8,TRUE))</f>
        <v>0.23253031148564673</v>
      </c>
      <c r="U403" s="109">
        <f>IF(VLOOKUP($D403,Sheet1!$M$5:$U$192,9,TRUE)=0,"",IF(ABS(D403-VLOOKUP($D403,Sheet1!$M$5:$U$192,9,TRUE))&lt;10^-10,"Alt.",D403-VLOOKUP($D403,Sheet1!$M$5:$U$192,9,TRUE)))</f>
        <v>0.24658247888010365</v>
      </c>
      <c r="V403" s="132">
        <f>$D403-Sheet1!$M$3*$R403</f>
        <v>1.880857784945178E-2</v>
      </c>
      <c r="Z403" s="6"/>
      <c r="AA403" s="61"/>
    </row>
    <row r="404" spans="1:27" ht="13.5">
      <c r="A404" t="s">
        <v>1162</v>
      </c>
      <c r="B404">
        <v>251996672</v>
      </c>
      <c r="C404">
        <v>253548873</v>
      </c>
      <c r="D404" s="13">
        <f t="shared" si="10"/>
        <v>10.631017098291364</v>
      </c>
      <c r="E404" s="61" t="s">
        <v>1931</v>
      </c>
      <c r="F404" s="65">
        <v>1535594.0588548158</v>
      </c>
      <c r="G404" s="6">
        <v>1065</v>
      </c>
      <c r="H404" s="6">
        <v>1011</v>
      </c>
      <c r="I404" s="65">
        <v>4.3454095463542322</v>
      </c>
      <c r="J404" s="6">
        <f>VLOOKUP($D404,Sheet1!$A$5:$C$192,3,TRUE)</f>
        <v>2</v>
      </c>
      <c r="K404" s="42" t="str">
        <f>VLOOKUP($D404,Sheet1!$A$5:$C$192,2,TRUE)</f>
        <v>)|(</v>
      </c>
      <c r="L404" s="6">
        <f>FLOOR(VLOOKUP($D404,Sheet1!$D$5:$F$192,3,TRUE),1)</f>
        <v>4</v>
      </c>
      <c r="M404" s="42" t="str">
        <f>VLOOKUP($D404,Sheet1!$D$5:$F$192,2,TRUE)</f>
        <v>)|(</v>
      </c>
      <c r="N404" s="23">
        <f>FLOOR(VLOOKUP($D404,Sheet1!$G$5:$I$192,3,TRUE),1)</f>
        <v>5</v>
      </c>
      <c r="O404" s="42" t="str">
        <f>VLOOKUP($D404,Sheet1!$G$5:$I$192,2,TRUE)</f>
        <v>)|(</v>
      </c>
      <c r="P404" s="23">
        <v>1</v>
      </c>
      <c r="Q404" s="43" t="str">
        <f>VLOOKUP($D404,Sheet1!$J$5:$L$192,2,TRUE)</f>
        <v>)|(''</v>
      </c>
      <c r="R404" s="23">
        <f>FLOOR(VLOOKUP($D404,Sheet1!$M$5:$O$192,3,TRUE),1)</f>
        <v>22</v>
      </c>
      <c r="S404" s="42" t="str">
        <f>VLOOKUP($D404,Sheet1!$M$5:$O$192,2,TRUE)</f>
        <v>)|(''</v>
      </c>
      <c r="T404" s="117">
        <f>IF(ABS(D404-VLOOKUP($D404,Sheet1!$M$5:$T$192,8,TRUE))&lt;10^-10,"SoCA",D404-VLOOKUP($D404,Sheet1!$M$5:$T$192,8,TRUE))</f>
        <v>0.11053225137106892</v>
      </c>
      <c r="U404" s="109">
        <f>IF(VLOOKUP($D404,Sheet1!$M$5:$U$192,9,TRUE)=0,"",IF(ABS(D404-VLOOKUP($D404,Sheet1!$M$5:$U$192,9,TRUE))&lt;10^-10,"Alt.",D404-VLOOKUP($D404,Sheet1!$M$5:$U$192,9,TRUE)))</f>
        <v>0.12458441876552584</v>
      </c>
      <c r="V404" s="132">
        <f>$D404-Sheet1!$M$3*$R404</f>
        <v>-0.10318948226512603</v>
      </c>
      <c r="Z404" s="6"/>
      <c r="AA404" s="61"/>
    </row>
    <row r="405" spans="1:27" ht="13.5">
      <c r="A405" s="40" t="s">
        <v>49</v>
      </c>
      <c r="B405" s="52">
        <f>2^3*19</f>
        <v>152</v>
      </c>
      <c r="C405" s="55">
        <f>3^2*17</f>
        <v>153</v>
      </c>
      <c r="D405" s="13">
        <f t="shared" si="10"/>
        <v>11.352395098879471</v>
      </c>
      <c r="E405" s="61">
        <v>19</v>
      </c>
      <c r="F405" s="65">
        <v>36.064946904900076</v>
      </c>
      <c r="G405" s="6">
        <v>101</v>
      </c>
      <c r="H405" s="6">
        <v>93</v>
      </c>
      <c r="I405" s="65">
        <v>1.3009916747348793</v>
      </c>
      <c r="J405" s="6">
        <f>VLOOKUP($D405,Sheet1!$A$5:$C$192,3,TRUE)</f>
        <v>2</v>
      </c>
      <c r="K405" s="42" t="str">
        <f>VLOOKUP($D405,Sheet1!$A$5:$C$192,2,TRUE)</f>
        <v>)|(</v>
      </c>
      <c r="L405" s="6">
        <f>FLOOR(VLOOKUP($D405,Sheet1!$D$5:$F$192,3,TRUE),1)</f>
        <v>5</v>
      </c>
      <c r="M405" s="42" t="str">
        <f>VLOOKUP($D405,Sheet1!$D$5:$F$192,2,TRUE)</f>
        <v>)~|</v>
      </c>
      <c r="N405" s="23">
        <f>FLOOR(VLOOKUP($D405,Sheet1!$G$5:$I$192,3,TRUE),1)</f>
        <v>6</v>
      </c>
      <c r="O405" s="42" t="str">
        <f>VLOOKUP($D405,Sheet1!$G$5:$I$192,2,TRUE)</f>
        <v>')|(</v>
      </c>
      <c r="P405" s="23">
        <v>1</v>
      </c>
      <c r="Q405" s="43" t="str">
        <f>VLOOKUP($D405,Sheet1!$J$5:$L$192,2,TRUE)</f>
        <v>')|(.</v>
      </c>
      <c r="R405" s="40">
        <f>FLOOR(VLOOKUP($D405,Sheet1!$M$5:$O$192,3,TRUE),1)</f>
        <v>23</v>
      </c>
      <c r="S405" s="46" t="str">
        <f>VLOOKUP($D405,Sheet1!$M$5:$O$192,2,TRUE)</f>
        <v>)~|..</v>
      </c>
      <c r="T405" s="115">
        <f>IF(ABS(D405-VLOOKUP($D405,Sheet1!$M$5:$T$192,8,TRUE))&lt;10^-10,"SoCA",D405-VLOOKUP($D405,Sheet1!$M$5:$T$192,8,TRUE))</f>
        <v>0.12052170627336878</v>
      </c>
      <c r="U405" s="115">
        <f>IF(VLOOKUP($D405,Sheet1!$M$5:$U$192,9,TRUE)=0,"",IF(ABS(D405-VLOOKUP($D405,Sheet1!$M$5:$U$192,9,TRUE))&lt;10^-10,"Alt.",D405-VLOOKUP($D405,Sheet1!$M$5:$U$192,9,TRUE)))</f>
        <v>0.10646953887891186</v>
      </c>
      <c r="V405" s="134">
        <f>$D405-Sheet1!$M$3*$R405</f>
        <v>0.13027003738859477</v>
      </c>
      <c r="Z405" s="6"/>
      <c r="AA405" s="61"/>
    </row>
    <row r="406" spans="1:27" ht="13.5">
      <c r="A406" s="6" t="s">
        <v>995</v>
      </c>
      <c r="B406" s="6">
        <f>3^2*17</f>
        <v>153</v>
      </c>
      <c r="C406" s="6">
        <f>2*7*11</f>
        <v>154</v>
      </c>
      <c r="D406" s="13">
        <f t="shared" si="10"/>
        <v>11.278437602699471</v>
      </c>
      <c r="E406" s="61">
        <v>17</v>
      </c>
      <c r="F406" s="65">
        <v>42.104456982292227</v>
      </c>
      <c r="G406" s="6">
        <v>908</v>
      </c>
      <c r="H406" s="6">
        <v>843</v>
      </c>
      <c r="I406" s="65">
        <v>-2.6944544927834899</v>
      </c>
      <c r="J406" s="6">
        <f>VLOOKUP($D406,Sheet1!$A$5:$C$192,3,TRUE)</f>
        <v>2</v>
      </c>
      <c r="K406" s="42" t="str">
        <f>VLOOKUP($D406,Sheet1!$A$5:$C$192,2,TRUE)</f>
        <v>)|(</v>
      </c>
      <c r="L406" s="6">
        <f>FLOOR(VLOOKUP($D406,Sheet1!$D$5:$F$192,3,TRUE),1)</f>
        <v>5</v>
      </c>
      <c r="M406" s="42" t="str">
        <f>VLOOKUP($D406,Sheet1!$D$5:$F$192,2,TRUE)</f>
        <v>)~|</v>
      </c>
      <c r="N406" s="23">
        <f>FLOOR(VLOOKUP($D406,Sheet1!$G$5:$I$192,3,TRUE),1)</f>
        <v>6</v>
      </c>
      <c r="O406" s="42" t="str">
        <f>VLOOKUP($D406,Sheet1!$G$5:$I$192,2,TRUE)</f>
        <v>')|(</v>
      </c>
      <c r="P406" s="23">
        <v>1</v>
      </c>
      <c r="Q406" s="43" t="str">
        <f>VLOOKUP($D406,Sheet1!$J$5:$L$192,2,TRUE)</f>
        <v>')|(.</v>
      </c>
      <c r="R406" s="23">
        <f>FLOOR(VLOOKUP($D406,Sheet1!$M$5:$O$192,3,TRUE),1)</f>
        <v>23</v>
      </c>
      <c r="S406" s="42" t="str">
        <f>VLOOKUP($D406,Sheet1!$M$5:$O$192,2,TRUE)</f>
        <v>)~|..</v>
      </c>
      <c r="T406" s="117">
        <f>IF(ABS(D406-VLOOKUP($D406,Sheet1!$M$5:$T$192,8,TRUE))&lt;10^-10,"SoCA",D406-VLOOKUP($D406,Sheet1!$M$5:$T$192,8,TRUE))</f>
        <v>4.656421009336853E-2</v>
      </c>
      <c r="U406" s="109">
        <f>IF(VLOOKUP($D406,Sheet1!$M$5:$U$192,9,TRUE)=0,"",IF(ABS(D406-VLOOKUP($D406,Sheet1!$M$5:$U$192,9,TRUE))&lt;10^-10,"Alt.",D406-VLOOKUP($D406,Sheet1!$M$5:$U$192,9,TRUE)))</f>
        <v>3.2512042698911614E-2</v>
      </c>
      <c r="V406" s="132">
        <f>$D406-Sheet1!$M$3*$R406</f>
        <v>5.6312541208594524E-2</v>
      </c>
      <c r="Z406" s="6"/>
      <c r="AA406" s="61"/>
    </row>
    <row r="407" spans="1:27" ht="13.5">
      <c r="A407" s="6" t="s">
        <v>464</v>
      </c>
      <c r="B407" s="6">
        <f>2^23</f>
        <v>8388608</v>
      </c>
      <c r="C407" s="6">
        <f>3^10*11*13</f>
        <v>8444007</v>
      </c>
      <c r="D407" s="13">
        <f t="shared" si="10"/>
        <v>11.395612787941477</v>
      </c>
      <c r="E407" s="61">
        <v>13</v>
      </c>
      <c r="F407" s="65">
        <v>48.481403909523827</v>
      </c>
      <c r="G407" s="6">
        <v>217</v>
      </c>
      <c r="H407" s="6">
        <v>302</v>
      </c>
      <c r="I407" s="65">
        <v>9.2983306041687186</v>
      </c>
      <c r="J407" s="6">
        <f>VLOOKUP($D407,Sheet1!$A$5:$C$192,3,TRUE)</f>
        <v>2</v>
      </c>
      <c r="K407" s="42" t="str">
        <f>VLOOKUP($D407,Sheet1!$A$5:$C$192,2,TRUE)</f>
        <v>)|(</v>
      </c>
      <c r="L407" s="6">
        <f>FLOOR(VLOOKUP($D407,Sheet1!$D$5:$F$192,3,TRUE),1)</f>
        <v>5</v>
      </c>
      <c r="M407" s="42" t="str">
        <f>VLOOKUP($D407,Sheet1!$D$5:$F$192,2,TRUE)</f>
        <v>)~|</v>
      </c>
      <c r="N407" s="23">
        <f>FLOOR(VLOOKUP($D407,Sheet1!$G$5:$I$192,3,TRUE),1)</f>
        <v>6</v>
      </c>
      <c r="O407" s="42" t="str">
        <f>VLOOKUP($D407,Sheet1!$G$5:$I$192,2,TRUE)</f>
        <v>')|(</v>
      </c>
      <c r="P407" s="23">
        <v>1</v>
      </c>
      <c r="Q407" s="43" t="str">
        <f>VLOOKUP($D407,Sheet1!$J$5:$L$192,2,TRUE)</f>
        <v>')|(.</v>
      </c>
      <c r="R407" s="23">
        <f>FLOOR(VLOOKUP($D407,Sheet1!$M$5:$O$192,3,TRUE),1)</f>
        <v>23</v>
      </c>
      <c r="S407" s="42" t="str">
        <f>VLOOKUP($D407,Sheet1!$M$5:$O$192,2,TRUE)</f>
        <v>)~|..</v>
      </c>
      <c r="T407" s="117">
        <f>IF(ABS(D407-VLOOKUP($D407,Sheet1!$M$5:$T$192,8,TRUE))&lt;10^-10,"SoCA",D407-VLOOKUP($D407,Sheet1!$M$5:$T$192,8,TRUE))</f>
        <v>0.16373939533537474</v>
      </c>
      <c r="U407" s="109">
        <f>IF(VLOOKUP($D407,Sheet1!$M$5:$U$192,9,TRUE)=0,"",IF(ABS(D407-VLOOKUP($D407,Sheet1!$M$5:$U$192,9,TRUE))&lt;10^-10,"Alt.",D407-VLOOKUP($D407,Sheet1!$M$5:$U$192,9,TRUE)))</f>
        <v>0.14968722794091782</v>
      </c>
      <c r="V407" s="132">
        <f>$D407-Sheet1!$M$3*$R407</f>
        <v>0.17348772645060073</v>
      </c>
      <c r="Z407" s="6"/>
      <c r="AA407" s="61"/>
    </row>
    <row r="408" spans="1:27" ht="13.5">
      <c r="A408" s="6" t="s">
        <v>788</v>
      </c>
      <c r="B408" s="6">
        <f>2*7*11</f>
        <v>154</v>
      </c>
      <c r="C408" s="6">
        <f>5*31</f>
        <v>155</v>
      </c>
      <c r="D408" s="13">
        <f t="shared" si="10"/>
        <v>11.205437495203531</v>
      </c>
      <c r="E408" s="61">
        <v>31</v>
      </c>
      <c r="F408" s="65">
        <v>54.029055469039569</v>
      </c>
      <c r="G408" s="6">
        <v>737</v>
      </c>
      <c r="H408" s="6">
        <v>634</v>
      </c>
      <c r="I408" s="65">
        <v>-0.68995961021109353</v>
      </c>
      <c r="J408" s="6">
        <f>VLOOKUP($D408,Sheet1!$A$5:$C$192,3,TRUE)</f>
        <v>2</v>
      </c>
      <c r="K408" s="42" t="str">
        <f>VLOOKUP($D408,Sheet1!$A$5:$C$192,2,TRUE)</f>
        <v>)|(</v>
      </c>
      <c r="L408" s="6">
        <f>FLOOR(VLOOKUP($D408,Sheet1!$D$5:$F$192,3,TRUE),1)</f>
        <v>5</v>
      </c>
      <c r="M408" s="42" t="str">
        <f>VLOOKUP($D408,Sheet1!$D$5:$F$192,2,TRUE)</f>
        <v>)~|</v>
      </c>
      <c r="N408" s="23">
        <f>FLOOR(VLOOKUP($D408,Sheet1!$G$5:$I$192,3,TRUE),1)</f>
        <v>6</v>
      </c>
      <c r="O408" s="42" t="str">
        <f>VLOOKUP($D408,Sheet1!$G$5:$I$192,2,TRUE)</f>
        <v>')|(</v>
      </c>
      <c r="P408" s="23">
        <v>1</v>
      </c>
      <c r="Q408" s="43" t="str">
        <f>VLOOKUP($D408,Sheet1!$J$5:$L$192,2,TRUE)</f>
        <v>')|(.</v>
      </c>
      <c r="R408" s="23">
        <f>FLOOR(VLOOKUP($D408,Sheet1!$M$5:$O$192,3,TRUE),1)</f>
        <v>23</v>
      </c>
      <c r="S408" s="42" t="str">
        <f>VLOOKUP($D408,Sheet1!$M$5:$O$192,2,TRUE)</f>
        <v>')|(.</v>
      </c>
      <c r="T408" s="117">
        <f>IF(ABS(D408-VLOOKUP($D408,Sheet1!$M$5:$T$192,8,TRUE))&lt;10^-10,"SoCA",D408-VLOOKUP($D408,Sheet1!$M$5:$T$192,8,TRUE))</f>
        <v>-1.3527769594499972E-2</v>
      </c>
      <c r="U408" s="109">
        <f>IF(VLOOKUP($D408,Sheet1!$M$5:$U$192,9,TRUE)=0,"",IF(ABS(D408-VLOOKUP($D408,Sheet1!$M$5:$U$192,9,TRUE))&lt;10^-10,"Alt.",D408-VLOOKUP($D408,Sheet1!$M$5:$U$192,9,TRUE)))</f>
        <v>-4.0488064796933898E-2</v>
      </c>
      <c r="V408" s="132">
        <f>$D408-Sheet1!$M$3*$R408</f>
        <v>-1.6687566287345135E-2</v>
      </c>
      <c r="Z408" s="6"/>
      <c r="AA408" s="61"/>
    </row>
    <row r="409" spans="1:27" ht="13.5">
      <c r="A409" s="38" t="s">
        <v>414</v>
      </c>
      <c r="B409" s="38">
        <f>3^5*5^2*7^3</f>
        <v>2083725</v>
      </c>
      <c r="C409" s="38">
        <f>2^21</f>
        <v>2097152</v>
      </c>
      <c r="D409" s="13">
        <f t="shared" si="10"/>
        <v>11.119848536018317</v>
      </c>
      <c r="E409" s="61">
        <v>7</v>
      </c>
      <c r="F409" s="65">
        <v>62.805804774394474</v>
      </c>
      <c r="G409" s="6">
        <v>256</v>
      </c>
      <c r="H409" s="6">
        <v>251</v>
      </c>
      <c r="I409" s="65">
        <v>-5.6846895861765052</v>
      </c>
      <c r="J409" s="6">
        <f>VLOOKUP($D409,Sheet1!$A$5:$C$192,3,TRUE)</f>
        <v>2</v>
      </c>
      <c r="K409" s="42" t="str">
        <f>VLOOKUP($D409,Sheet1!$A$5:$C$192,2,TRUE)</f>
        <v>)|(</v>
      </c>
      <c r="L409" s="6">
        <f>FLOOR(VLOOKUP($D409,Sheet1!$D$5:$F$192,3,TRUE),1)</f>
        <v>5</v>
      </c>
      <c r="M409" s="42" t="str">
        <f>VLOOKUP($D409,Sheet1!$D$5:$F$192,2,TRUE)</f>
        <v>)~|</v>
      </c>
      <c r="N409" s="23">
        <f>FLOOR(VLOOKUP($D409,Sheet1!$G$5:$I$192,3,TRUE),1)</f>
        <v>6</v>
      </c>
      <c r="O409" s="42" t="str">
        <f>VLOOKUP($D409,Sheet1!$G$5:$I$192,2,TRUE)</f>
        <v>')|(</v>
      </c>
      <c r="P409" s="23">
        <v>1</v>
      </c>
      <c r="Q409" s="45" t="str">
        <f>VLOOKUP($D409,Sheet1!$J$5:$L$192,2,TRUE)</f>
        <v>')|(.</v>
      </c>
      <c r="R409" s="38">
        <f>FLOOR(VLOOKUP($D409,Sheet1!$M$5:$O$192,3,TRUE),1)</f>
        <v>23</v>
      </c>
      <c r="S409" s="45" t="str">
        <f>VLOOKUP($D409,Sheet1!$M$5:$O$192,2,TRUE)</f>
        <v>')|(.</v>
      </c>
      <c r="T409" s="108">
        <f>IF(ABS(D409-VLOOKUP($D409,Sheet1!$M$5:$T$192,8,TRUE))&lt;10^-10,"SoCA",D409-VLOOKUP($D409,Sheet1!$M$5:$T$192,8,TRUE))</f>
        <v>-9.9116728779714336E-2</v>
      </c>
      <c r="U409" s="108">
        <f>IF(VLOOKUP($D409,Sheet1!$M$5:$U$192,9,TRUE)=0,"",IF(ABS(D409-VLOOKUP($D409,Sheet1!$M$5:$U$192,9,TRUE))&lt;10^-10,"Alt.",D409-VLOOKUP($D409,Sheet1!$M$5:$U$192,9,TRUE)))</f>
        <v>-0.12607702398214826</v>
      </c>
      <c r="V409" s="133">
        <f>$D409-Sheet1!$M$3*$R409</f>
        <v>-0.1022765254725595</v>
      </c>
      <c r="Z409" s="6"/>
      <c r="AA409" s="61"/>
    </row>
    <row r="410" spans="1:27" ht="13.5">
      <c r="A410" t="s">
        <v>1518</v>
      </c>
      <c r="B410">
        <v>846369</v>
      </c>
      <c r="C410">
        <v>851968</v>
      </c>
      <c r="D410" s="13">
        <f t="shared" si="10"/>
        <v>11.414948338306349</v>
      </c>
      <c r="E410" s="61">
        <v>43</v>
      </c>
      <c r="F410" s="65">
        <v>71.089292770939608</v>
      </c>
      <c r="G410" s="6">
        <v>1171</v>
      </c>
      <c r="H410" s="6">
        <v>1367</v>
      </c>
      <c r="I410" s="65">
        <v>-9.7028599561104922</v>
      </c>
      <c r="J410" s="6">
        <f>VLOOKUP($D410,Sheet1!$A$5:$C$192,3,TRUE)</f>
        <v>2</v>
      </c>
      <c r="K410" s="42" t="str">
        <f>VLOOKUP($D410,Sheet1!$A$5:$C$192,2,TRUE)</f>
        <v>)|(</v>
      </c>
      <c r="L410" s="6">
        <f>FLOOR(VLOOKUP($D410,Sheet1!$D$5:$F$192,3,TRUE),1)</f>
        <v>5</v>
      </c>
      <c r="M410" s="42" t="str">
        <f>VLOOKUP($D410,Sheet1!$D$5:$F$192,2,TRUE)</f>
        <v>)~|</v>
      </c>
      <c r="N410" s="23">
        <f>FLOOR(VLOOKUP($D410,Sheet1!$G$5:$I$192,3,TRUE),1)</f>
        <v>6</v>
      </c>
      <c r="O410" s="42" t="str">
        <f>VLOOKUP($D410,Sheet1!$G$5:$I$192,2,TRUE)</f>
        <v>')|(</v>
      </c>
      <c r="P410" s="23">
        <v>1</v>
      </c>
      <c r="Q410" s="43" t="str">
        <f>VLOOKUP($D410,Sheet1!$J$5:$L$192,2,TRUE)</f>
        <v>')|(.</v>
      </c>
      <c r="R410" s="23">
        <f>FLOOR(VLOOKUP($D410,Sheet1!$M$5:$O$192,3,TRUE),1)</f>
        <v>23</v>
      </c>
      <c r="S410" s="42" t="str">
        <f>VLOOKUP($D410,Sheet1!$M$5:$O$192,2,TRUE)</f>
        <v>)~|..</v>
      </c>
      <c r="T410" s="117">
        <f>IF(ABS(D410-VLOOKUP($D410,Sheet1!$M$5:$T$192,8,TRUE))&lt;10^-10,"SoCA",D410-VLOOKUP($D410,Sheet1!$M$5:$T$192,8,TRUE))</f>
        <v>0.18307494570024652</v>
      </c>
      <c r="U410" s="109">
        <f>IF(VLOOKUP($D410,Sheet1!$M$5:$U$192,9,TRUE)=0,"",IF(ABS(D410-VLOOKUP($D410,Sheet1!$M$5:$U$192,9,TRUE))&lt;10^-10,"Alt.",D410-VLOOKUP($D410,Sheet1!$M$5:$U$192,9,TRUE)))</f>
        <v>0.1690227783057896</v>
      </c>
      <c r="V410" s="132">
        <f>$D410-Sheet1!$M$3*$R410</f>
        <v>0.19282327681547251</v>
      </c>
      <c r="Z410" s="6"/>
      <c r="AA410" s="61"/>
    </row>
    <row r="411" spans="1:27" ht="13.5">
      <c r="A411" t="s">
        <v>1257</v>
      </c>
      <c r="B411">
        <v>29696</v>
      </c>
      <c r="C411">
        <v>29889</v>
      </c>
      <c r="D411" s="13">
        <f t="shared" si="10"/>
        <v>11.215216580938263</v>
      </c>
      <c r="E411" s="61">
        <v>41</v>
      </c>
      <c r="F411" s="65">
        <v>71.224451220711899</v>
      </c>
      <c r="G411" s="6">
        <v>1163</v>
      </c>
      <c r="H411" s="6">
        <v>1106</v>
      </c>
      <c r="I411" s="65">
        <v>5.3094382558530704</v>
      </c>
      <c r="J411" s="6">
        <f>VLOOKUP($D411,Sheet1!$A$5:$C$192,3,TRUE)</f>
        <v>2</v>
      </c>
      <c r="K411" s="42" t="str">
        <f>VLOOKUP($D411,Sheet1!$A$5:$C$192,2,TRUE)</f>
        <v>)|(</v>
      </c>
      <c r="L411" s="6">
        <f>FLOOR(VLOOKUP($D411,Sheet1!$D$5:$F$192,3,TRUE),1)</f>
        <v>5</v>
      </c>
      <c r="M411" s="42" t="str">
        <f>VLOOKUP($D411,Sheet1!$D$5:$F$192,2,TRUE)</f>
        <v>)~|</v>
      </c>
      <c r="N411" s="23">
        <f>FLOOR(VLOOKUP($D411,Sheet1!$G$5:$I$192,3,TRUE),1)</f>
        <v>6</v>
      </c>
      <c r="O411" s="42" t="str">
        <f>VLOOKUP($D411,Sheet1!$G$5:$I$192,2,TRUE)</f>
        <v>')|(</v>
      </c>
      <c r="P411" s="23">
        <v>1</v>
      </c>
      <c r="Q411" s="43" t="str">
        <f>VLOOKUP($D411,Sheet1!$J$5:$L$192,2,TRUE)</f>
        <v>')|(.</v>
      </c>
      <c r="R411" s="23">
        <f>FLOOR(VLOOKUP($D411,Sheet1!$M$5:$O$192,3,TRUE),1)</f>
        <v>23</v>
      </c>
      <c r="S411" s="42" t="str">
        <f>VLOOKUP($D411,Sheet1!$M$5:$O$192,2,TRUE)</f>
        <v>')|(.</v>
      </c>
      <c r="T411" s="117">
        <f>IF(ABS(D411-VLOOKUP($D411,Sheet1!$M$5:$T$192,8,TRUE))&lt;10^-10,"SoCA",D411-VLOOKUP($D411,Sheet1!$M$5:$T$192,8,TRUE))</f>
        <v>-3.7486838597686756E-3</v>
      </c>
      <c r="U411" s="109">
        <f>IF(VLOOKUP($D411,Sheet1!$M$5:$U$192,9,TRUE)=0,"",IF(ABS(D411-VLOOKUP($D411,Sheet1!$M$5:$U$192,9,TRUE))&lt;10^-10,"Alt.",D411-VLOOKUP($D411,Sheet1!$M$5:$U$192,9,TRUE)))</f>
        <v>-3.0708979062202602E-2</v>
      </c>
      <c r="V411" s="132">
        <f>$D411-Sheet1!$M$3*$R411</f>
        <v>-6.9084805526138382E-3</v>
      </c>
      <c r="Z411" s="6"/>
      <c r="AA411" s="61"/>
    </row>
    <row r="412" spans="1:27" ht="13.5">
      <c r="A412" s="6" t="s">
        <v>1824</v>
      </c>
      <c r="B412">
        <v>14585103</v>
      </c>
      <c r="C412">
        <v>14680064</v>
      </c>
      <c r="D412" s="13">
        <f t="shared" si="10"/>
        <v>11.235219913637581</v>
      </c>
      <c r="E412" s="61">
        <v>19</v>
      </c>
      <c r="F412" s="65">
        <v>74.269878854606276</v>
      </c>
      <c r="G412" s="59">
        <v>1463</v>
      </c>
      <c r="H412" s="63">
        <v>1000029</v>
      </c>
      <c r="I412" s="65">
        <v>-10.691793422217335</v>
      </c>
      <c r="J412" s="6">
        <f>VLOOKUP($D412,Sheet1!$A$5:$C$192,3,TRUE)</f>
        <v>2</v>
      </c>
      <c r="K412" s="42" t="str">
        <f>VLOOKUP($D412,Sheet1!$A$5:$C$192,2,TRUE)</f>
        <v>)|(</v>
      </c>
      <c r="L412" s="6">
        <f>FLOOR(VLOOKUP($D412,Sheet1!$D$5:$F$192,3,TRUE),1)</f>
        <v>5</v>
      </c>
      <c r="M412" s="42" t="str">
        <f>VLOOKUP($D412,Sheet1!$D$5:$F$192,2,TRUE)</f>
        <v>)~|</v>
      </c>
      <c r="N412" s="23">
        <f>FLOOR(VLOOKUP($D412,Sheet1!$G$5:$I$192,3,TRUE),1)</f>
        <v>6</v>
      </c>
      <c r="O412" s="42" t="str">
        <f>VLOOKUP($D412,Sheet1!$G$5:$I$192,2,TRUE)</f>
        <v>')|(</v>
      </c>
      <c r="P412" s="23">
        <v>1</v>
      </c>
      <c r="Q412" s="43" t="str">
        <f>VLOOKUP($D412,Sheet1!$J$5:$L$192,2,TRUE)</f>
        <v>')|(.</v>
      </c>
      <c r="R412" s="23">
        <f>FLOOR(VLOOKUP($D412,Sheet1!$M$5:$O$192,3,TRUE),1)</f>
        <v>23</v>
      </c>
      <c r="S412" s="42" t="str">
        <f>VLOOKUP($D412,Sheet1!$M$5:$O$192,2,TRUE)</f>
        <v>')|(.</v>
      </c>
      <c r="T412" s="117">
        <f>IF(ABS(D412-VLOOKUP($D412,Sheet1!$M$5:$T$192,8,TRUE))&lt;10^-10,"SoCA",D412-VLOOKUP($D412,Sheet1!$M$5:$T$192,8,TRUE))</f>
        <v>1.6254648839549191E-2</v>
      </c>
      <c r="U412" s="109">
        <f>IF(VLOOKUP($D412,Sheet1!$M$5:$U$192,9,TRUE)=0,"",IF(ABS(D412-VLOOKUP($D412,Sheet1!$M$5:$U$192,9,TRUE))&lt;10^-10,"Alt.",D412-VLOOKUP($D412,Sheet1!$M$5:$U$192,9,TRUE)))</f>
        <v>-1.0705646362884735E-2</v>
      </c>
      <c r="V412" s="132">
        <f>$D412-Sheet1!$M$3*$R412</f>
        <v>1.3094852146704028E-2</v>
      </c>
      <c r="Z412" s="6"/>
      <c r="AA412" s="61"/>
    </row>
    <row r="413" spans="1:27" ht="13.5">
      <c r="A413" t="s">
        <v>876</v>
      </c>
      <c r="B413">
        <v>606208</v>
      </c>
      <c r="C413">
        <v>610173</v>
      </c>
      <c r="D413" s="13">
        <f t="shared" si="10"/>
        <v>11.286541497997407</v>
      </c>
      <c r="E413" s="61">
        <v>37</v>
      </c>
      <c r="F413" s="65">
        <v>77.71976956091099</v>
      </c>
      <c r="G413" s="6">
        <v>599</v>
      </c>
      <c r="H413" s="6">
        <v>723</v>
      </c>
      <c r="I413" s="65">
        <v>8.3050465208589177</v>
      </c>
      <c r="J413" s="6">
        <f>VLOOKUP($D413,Sheet1!$A$5:$C$192,3,TRUE)</f>
        <v>2</v>
      </c>
      <c r="K413" s="42" t="str">
        <f>VLOOKUP($D413,Sheet1!$A$5:$C$192,2,TRUE)</f>
        <v>)|(</v>
      </c>
      <c r="L413" s="6">
        <f>FLOOR(VLOOKUP($D413,Sheet1!$D$5:$F$192,3,TRUE),1)</f>
        <v>5</v>
      </c>
      <c r="M413" s="42" t="str">
        <f>VLOOKUP($D413,Sheet1!$D$5:$F$192,2,TRUE)</f>
        <v>)~|</v>
      </c>
      <c r="N413" s="23">
        <f>FLOOR(VLOOKUP($D413,Sheet1!$G$5:$I$192,3,TRUE),1)</f>
        <v>6</v>
      </c>
      <c r="O413" s="42" t="str">
        <f>VLOOKUP($D413,Sheet1!$G$5:$I$192,2,TRUE)</f>
        <v>')|(</v>
      </c>
      <c r="P413" s="23">
        <v>1</v>
      </c>
      <c r="Q413" s="43" t="str">
        <f>VLOOKUP($D413,Sheet1!$J$5:$L$192,2,TRUE)</f>
        <v>')|(.</v>
      </c>
      <c r="R413" s="23">
        <f>FLOOR(VLOOKUP($D413,Sheet1!$M$5:$O$192,3,TRUE),1)</f>
        <v>23</v>
      </c>
      <c r="S413" s="42" t="str">
        <f>VLOOKUP($D413,Sheet1!$M$5:$O$192,2,TRUE)</f>
        <v>)~|..</v>
      </c>
      <c r="T413" s="117">
        <f>IF(ABS(D413-VLOOKUP($D413,Sheet1!$M$5:$T$192,8,TRUE))&lt;10^-10,"SoCA",D413-VLOOKUP($D413,Sheet1!$M$5:$T$192,8,TRUE))</f>
        <v>5.4668105391304067E-2</v>
      </c>
      <c r="U413" s="109">
        <f>IF(VLOOKUP($D413,Sheet1!$M$5:$U$192,9,TRUE)=0,"",IF(ABS(D413-VLOOKUP($D413,Sheet1!$M$5:$U$192,9,TRUE))&lt;10^-10,"Alt.",D413-VLOOKUP($D413,Sheet1!$M$5:$U$192,9,TRUE)))</f>
        <v>4.0615937996847151E-2</v>
      </c>
      <c r="V413" s="132">
        <f>$D413-Sheet1!$M$3*$R413</f>
        <v>6.4416436506530061E-2</v>
      </c>
      <c r="Z413" s="6"/>
      <c r="AA413" s="61"/>
    </row>
    <row r="414" spans="1:27" ht="13.5">
      <c r="A414" t="s">
        <v>1583</v>
      </c>
      <c r="B414">
        <v>820125</v>
      </c>
      <c r="C414">
        <v>825344</v>
      </c>
      <c r="D414" s="13">
        <f t="shared" si="10"/>
        <v>10.982085715956968</v>
      </c>
      <c r="E414" s="61">
        <v>31</v>
      </c>
      <c r="F414" s="65">
        <v>78.351741583194041</v>
      </c>
      <c r="G414" s="6">
        <v>1490</v>
      </c>
      <c r="H414" s="6">
        <v>1432</v>
      </c>
      <c r="I414" s="65">
        <v>-8.6762070274480489</v>
      </c>
      <c r="J414" s="6">
        <f>VLOOKUP($D414,Sheet1!$A$5:$C$192,3,TRUE)</f>
        <v>2</v>
      </c>
      <c r="K414" s="42" t="str">
        <f>VLOOKUP($D414,Sheet1!$A$5:$C$192,2,TRUE)</f>
        <v>)|(</v>
      </c>
      <c r="L414" s="6">
        <f>FLOOR(VLOOKUP($D414,Sheet1!$D$5:$F$192,3,TRUE),1)</f>
        <v>5</v>
      </c>
      <c r="M414" s="42" t="str">
        <f>VLOOKUP($D414,Sheet1!$D$5:$F$192,2,TRUE)</f>
        <v>)~|</v>
      </c>
      <c r="N414" s="23">
        <f>FLOOR(VLOOKUP($D414,Sheet1!$G$5:$I$192,3,TRUE),1)</f>
        <v>6</v>
      </c>
      <c r="O414" s="42" t="str">
        <f>VLOOKUP($D414,Sheet1!$G$5:$I$192,2,TRUE)</f>
        <v>')|(</v>
      </c>
      <c r="P414" s="23">
        <v>1</v>
      </c>
      <c r="Q414" s="43" t="str">
        <f>VLOOKUP($D414,Sheet1!$J$5:$L$192,2,TRUE)</f>
        <v>')|(.</v>
      </c>
      <c r="R414" s="23">
        <f>FLOOR(VLOOKUP($D414,Sheet1!$M$5:$O$192,3,TRUE),1)</f>
        <v>23</v>
      </c>
      <c r="S414" s="42" t="str">
        <f>VLOOKUP($D414,Sheet1!$M$5:$O$192,2,TRUE)</f>
        <v>')|(.</v>
      </c>
      <c r="T414" s="117">
        <f>IF(ABS(D414-VLOOKUP($D414,Sheet1!$M$5:$T$192,8,TRUE))&lt;10^-10,"SoCA",D414-VLOOKUP($D414,Sheet1!$M$5:$T$192,8,TRUE))</f>
        <v>-0.23687954884106333</v>
      </c>
      <c r="U414" s="109">
        <f>IF(VLOOKUP($D414,Sheet1!$M$5:$U$192,9,TRUE)=0,"",IF(ABS(D414-VLOOKUP($D414,Sheet1!$M$5:$U$192,9,TRUE))&lt;10^-10,"Alt.",D414-VLOOKUP($D414,Sheet1!$M$5:$U$192,9,TRUE)))</f>
        <v>-0.26383984404349725</v>
      </c>
      <c r="V414" s="132">
        <f>$D414-Sheet1!$M$3*$R414</f>
        <v>-0.24003934553390849</v>
      </c>
      <c r="Z414" s="6"/>
      <c r="AA414" s="61"/>
    </row>
    <row r="415" spans="1:27" ht="13.5">
      <c r="A415" s="6" t="s">
        <v>390</v>
      </c>
      <c r="B415" s="6">
        <f>5^8</f>
        <v>390625</v>
      </c>
      <c r="C415" s="6">
        <f>2^17*3</f>
        <v>393216</v>
      </c>
      <c r="D415" s="13">
        <f t="shared" si="10"/>
        <v>11.445289946708723</v>
      </c>
      <c r="E415" s="61">
        <v>5</v>
      </c>
      <c r="F415" s="65">
        <v>104.03331658988496</v>
      </c>
      <c r="G415" s="6">
        <v>250</v>
      </c>
      <c r="H415" s="6">
        <v>225</v>
      </c>
      <c r="I415" s="65">
        <v>0.29527180051967605</v>
      </c>
      <c r="J415" s="6">
        <f>VLOOKUP($D415,Sheet1!$A$5:$C$192,3,TRUE)</f>
        <v>2</v>
      </c>
      <c r="K415" s="42" t="str">
        <f>VLOOKUP($D415,Sheet1!$A$5:$C$192,2,TRUE)</f>
        <v>)|(</v>
      </c>
      <c r="L415" s="6">
        <f>FLOOR(VLOOKUP($D415,Sheet1!$D$5:$F$192,3,TRUE),1)</f>
        <v>5</v>
      </c>
      <c r="M415" s="42" t="str">
        <f>VLOOKUP($D415,Sheet1!$D$5:$F$192,2,TRUE)</f>
        <v>)~|</v>
      </c>
      <c r="N415" s="23">
        <f>FLOOR(VLOOKUP($D415,Sheet1!$G$5:$I$192,3,TRUE),1)</f>
        <v>6</v>
      </c>
      <c r="O415" s="42" t="str">
        <f>VLOOKUP($D415,Sheet1!$G$5:$I$192,2,TRUE)</f>
        <v>')|(</v>
      </c>
      <c r="P415" s="23">
        <v>1</v>
      </c>
      <c r="Q415" s="43" t="str">
        <f>VLOOKUP($D415,Sheet1!$J$5:$L$192,2,TRUE)</f>
        <v>')|(.</v>
      </c>
      <c r="R415" s="23">
        <f>FLOOR(VLOOKUP($D415,Sheet1!$M$5:$O$192,3,TRUE),1)</f>
        <v>23</v>
      </c>
      <c r="S415" s="42" t="str">
        <f>VLOOKUP($D415,Sheet1!$M$5:$O$192,2,TRUE)</f>
        <v>)~|..</v>
      </c>
      <c r="T415" s="117">
        <f>IF(ABS(D415-VLOOKUP($D415,Sheet1!$M$5:$T$192,8,TRUE))&lt;10^-10,"SoCA",D415-VLOOKUP($D415,Sheet1!$M$5:$T$192,8,TRUE))</f>
        <v>0.21341655410262028</v>
      </c>
      <c r="U415" s="109">
        <f>IF(VLOOKUP($D415,Sheet1!$M$5:$U$192,9,TRUE)=0,"",IF(ABS(D415-VLOOKUP($D415,Sheet1!$M$5:$U$192,9,TRUE))&lt;10^-10,"Alt.",D415-VLOOKUP($D415,Sheet1!$M$5:$U$192,9,TRUE)))</f>
        <v>0.19936438670816337</v>
      </c>
      <c r="V415" s="132">
        <f>$D415-Sheet1!$M$3*$R415</f>
        <v>0.22316488521784628</v>
      </c>
      <c r="Z415" s="6"/>
      <c r="AA415" s="61"/>
    </row>
    <row r="416" spans="1:27" ht="13.5">
      <c r="A416" t="s">
        <v>1738</v>
      </c>
      <c r="B416">
        <v>6160384</v>
      </c>
      <c r="C416">
        <v>6200145</v>
      </c>
      <c r="D416" s="13">
        <f t="shared" si="10"/>
        <v>11.138007840056552</v>
      </c>
      <c r="E416" s="61">
        <v>47</v>
      </c>
      <c r="F416" s="65">
        <v>108.51102390481329</v>
      </c>
      <c r="G416" s="6">
        <v>1484</v>
      </c>
      <c r="H416" s="6">
        <v>1587</v>
      </c>
      <c r="I416" s="65">
        <v>10.314192279315915</v>
      </c>
      <c r="J416" s="6">
        <f>VLOOKUP($D416,Sheet1!$A$5:$C$192,3,TRUE)</f>
        <v>2</v>
      </c>
      <c r="K416" s="42" t="str">
        <f>VLOOKUP($D416,Sheet1!$A$5:$C$192,2,TRUE)</f>
        <v>)|(</v>
      </c>
      <c r="L416" s="6">
        <f>FLOOR(VLOOKUP($D416,Sheet1!$D$5:$F$192,3,TRUE),1)</f>
        <v>5</v>
      </c>
      <c r="M416" s="42" t="str">
        <f>VLOOKUP($D416,Sheet1!$D$5:$F$192,2,TRUE)</f>
        <v>)~|</v>
      </c>
      <c r="N416" s="23">
        <f>FLOOR(VLOOKUP($D416,Sheet1!$G$5:$I$192,3,TRUE),1)</f>
        <v>6</v>
      </c>
      <c r="O416" s="42" t="str">
        <f>VLOOKUP($D416,Sheet1!$G$5:$I$192,2,TRUE)</f>
        <v>')|(</v>
      </c>
      <c r="P416" s="23">
        <v>1</v>
      </c>
      <c r="Q416" s="43" t="str">
        <f>VLOOKUP($D416,Sheet1!$J$5:$L$192,2,TRUE)</f>
        <v>')|(.</v>
      </c>
      <c r="R416" s="23">
        <f>FLOOR(VLOOKUP($D416,Sheet1!$M$5:$O$192,3,TRUE),1)</f>
        <v>23</v>
      </c>
      <c r="S416" s="42" t="str">
        <f>VLOOKUP($D416,Sheet1!$M$5:$O$192,2,TRUE)</f>
        <v>')|(.</v>
      </c>
      <c r="T416" s="117">
        <f>IF(ABS(D416-VLOOKUP($D416,Sheet1!$M$5:$T$192,8,TRUE))&lt;10^-10,"SoCA",D416-VLOOKUP($D416,Sheet1!$M$5:$T$192,8,TRUE))</f>
        <v>-8.0957424741479045E-2</v>
      </c>
      <c r="U416" s="109">
        <f>IF(VLOOKUP($D416,Sheet1!$M$5:$U$192,9,TRUE)=0,"",IF(ABS(D416-VLOOKUP($D416,Sheet1!$M$5:$U$192,9,TRUE))&lt;10^-10,"Alt.",D416-VLOOKUP($D416,Sheet1!$M$5:$U$192,9,TRUE)))</f>
        <v>-0.10791771994391297</v>
      </c>
      <c r="V416" s="132">
        <f>$D416-Sheet1!$M$3*$R416</f>
        <v>-8.4117221434324208E-2</v>
      </c>
      <c r="Z416" s="6"/>
      <c r="AA416" s="61"/>
    </row>
    <row r="417" spans="1:27" ht="13.5">
      <c r="A417" t="s">
        <v>1587</v>
      </c>
      <c r="B417">
        <v>321489</v>
      </c>
      <c r="C417">
        <v>323584</v>
      </c>
      <c r="D417" s="13">
        <f t="shared" si="10"/>
        <v>11.245077951174297</v>
      </c>
      <c r="E417" s="61" t="s">
        <v>1931</v>
      </c>
      <c r="F417" s="65">
        <v>120.02362544183529</v>
      </c>
      <c r="G417" s="6">
        <v>1494</v>
      </c>
      <c r="H417" s="6">
        <v>1436</v>
      </c>
      <c r="I417" s="65">
        <v>-8.6924004175032579</v>
      </c>
      <c r="J417" s="6">
        <f>VLOOKUP($D417,Sheet1!$A$5:$C$192,3,TRUE)</f>
        <v>2</v>
      </c>
      <c r="K417" s="42" t="str">
        <f>VLOOKUP($D417,Sheet1!$A$5:$C$192,2,TRUE)</f>
        <v>)|(</v>
      </c>
      <c r="L417" s="6">
        <f>FLOOR(VLOOKUP($D417,Sheet1!$D$5:$F$192,3,TRUE),1)</f>
        <v>5</v>
      </c>
      <c r="M417" s="42" t="str">
        <f>VLOOKUP($D417,Sheet1!$D$5:$F$192,2,TRUE)</f>
        <v>)~|</v>
      </c>
      <c r="N417" s="23">
        <f>FLOOR(VLOOKUP($D417,Sheet1!$G$5:$I$192,3,TRUE),1)</f>
        <v>6</v>
      </c>
      <c r="O417" s="42" t="str">
        <f>VLOOKUP($D417,Sheet1!$G$5:$I$192,2,TRUE)</f>
        <v>')|(</v>
      </c>
      <c r="P417" s="23">
        <v>1</v>
      </c>
      <c r="Q417" s="43" t="str">
        <f>VLOOKUP($D417,Sheet1!$J$5:$L$192,2,TRUE)</f>
        <v>')|(.</v>
      </c>
      <c r="R417" s="23">
        <f>FLOOR(VLOOKUP($D417,Sheet1!$M$5:$O$192,3,TRUE),1)</f>
        <v>23</v>
      </c>
      <c r="S417" s="42" t="str">
        <f>VLOOKUP($D417,Sheet1!$M$5:$O$192,2,TRUE)</f>
        <v>)~|..</v>
      </c>
      <c r="T417" s="117">
        <f>IF(ABS(D417-VLOOKUP($D417,Sheet1!$M$5:$T$192,8,TRUE))&lt;10^-10,"SoCA",D417-VLOOKUP($D417,Sheet1!$M$5:$T$192,8,TRUE))</f>
        <v>1.3204558568194358E-2</v>
      </c>
      <c r="U417" s="109">
        <f>IF(VLOOKUP($D417,Sheet1!$M$5:$U$192,9,TRUE)=0,"",IF(ABS(D417-VLOOKUP($D417,Sheet1!$M$5:$U$192,9,TRUE))&lt;10^-10,"Alt.",D417-VLOOKUP($D417,Sheet1!$M$5:$U$192,9,TRUE)))</f>
        <v>-8.4760882626255807E-4</v>
      </c>
      <c r="V417" s="132">
        <f>$D417-Sheet1!$M$3*$R417</f>
        <v>2.2952889683420352E-2</v>
      </c>
      <c r="Z417" s="6"/>
      <c r="AA417" s="61"/>
    </row>
    <row r="418" spans="1:27" ht="13.5">
      <c r="A418" t="s">
        <v>1260</v>
      </c>
      <c r="B418">
        <v>257152</v>
      </c>
      <c r="C418">
        <v>258795</v>
      </c>
      <c r="D418" s="13">
        <f t="shared" si="10"/>
        <v>11.026043982827598</v>
      </c>
      <c r="E418" s="61" t="s">
        <v>1931</v>
      </c>
      <c r="F418" s="65">
        <v>158.604496933354</v>
      </c>
      <c r="G418" s="6">
        <v>1165</v>
      </c>
      <c r="H418" s="6">
        <v>1109</v>
      </c>
      <c r="I418" s="65">
        <v>5.3210863019120413</v>
      </c>
      <c r="J418" s="6">
        <f>VLOOKUP($D418,Sheet1!$A$5:$C$192,3,TRUE)</f>
        <v>2</v>
      </c>
      <c r="K418" s="42" t="str">
        <f>VLOOKUP($D418,Sheet1!$A$5:$C$192,2,TRUE)</f>
        <v>)|(</v>
      </c>
      <c r="L418" s="6">
        <f>FLOOR(VLOOKUP($D418,Sheet1!$D$5:$F$192,3,TRUE),1)</f>
        <v>5</v>
      </c>
      <c r="M418" s="42" t="str">
        <f>VLOOKUP($D418,Sheet1!$D$5:$F$192,2,TRUE)</f>
        <v>)~|</v>
      </c>
      <c r="N418" s="23">
        <f>FLOOR(VLOOKUP($D418,Sheet1!$G$5:$I$192,3,TRUE),1)</f>
        <v>6</v>
      </c>
      <c r="O418" s="42" t="str">
        <f>VLOOKUP($D418,Sheet1!$G$5:$I$192,2,TRUE)</f>
        <v>')|(</v>
      </c>
      <c r="P418" s="23">
        <v>1</v>
      </c>
      <c r="Q418" s="43" t="str">
        <f>VLOOKUP($D418,Sheet1!$J$5:$L$192,2,TRUE)</f>
        <v>')|(.</v>
      </c>
      <c r="R418" s="23">
        <f>FLOOR(VLOOKUP($D418,Sheet1!$M$5:$O$192,3,TRUE),1)</f>
        <v>23</v>
      </c>
      <c r="S418" s="42" t="str">
        <f>VLOOKUP($D418,Sheet1!$M$5:$O$192,2,TRUE)</f>
        <v>')|(.</v>
      </c>
      <c r="T418" s="117">
        <f>IF(ABS(D418-VLOOKUP($D418,Sheet1!$M$5:$T$192,8,TRUE))&lt;10^-10,"SoCA",D418-VLOOKUP($D418,Sheet1!$M$5:$T$192,8,TRUE))</f>
        <v>-0.1929212819704329</v>
      </c>
      <c r="U418" s="109">
        <f>IF(VLOOKUP($D418,Sheet1!$M$5:$U$192,9,TRUE)=0,"",IF(ABS(D418-VLOOKUP($D418,Sheet1!$M$5:$U$192,9,TRUE))&lt;10^-10,"Alt.",D418-VLOOKUP($D418,Sheet1!$M$5:$U$192,9,TRUE)))</f>
        <v>-0.21988157717286683</v>
      </c>
      <c r="V418" s="132">
        <f>$D418-Sheet1!$M$3*$R418</f>
        <v>-0.19608107866327806</v>
      </c>
      <c r="Z418" s="6"/>
      <c r="AA418" s="61"/>
    </row>
    <row r="419" spans="1:27" ht="13.5">
      <c r="A419" t="s">
        <v>694</v>
      </c>
      <c r="B419">
        <v>4833</v>
      </c>
      <c r="C419">
        <v>4864</v>
      </c>
      <c r="D419" s="13">
        <f t="shared" si="10"/>
        <v>11.069080819032461</v>
      </c>
      <c r="E419" s="61" t="s">
        <v>1931</v>
      </c>
      <c r="F419" s="65">
        <v>198.3048551116662</v>
      </c>
      <c r="G419" s="6">
        <v>580</v>
      </c>
      <c r="H419" s="6">
        <v>539</v>
      </c>
      <c r="I419" s="65">
        <v>-3.6815636328848225</v>
      </c>
      <c r="J419" s="6">
        <f>VLOOKUP($D419,Sheet1!$A$5:$C$192,3,TRUE)</f>
        <v>2</v>
      </c>
      <c r="K419" s="42" t="str">
        <f>VLOOKUP($D419,Sheet1!$A$5:$C$192,2,TRUE)</f>
        <v>)|(</v>
      </c>
      <c r="L419" s="6">
        <f>FLOOR(VLOOKUP($D419,Sheet1!$D$5:$F$192,3,TRUE),1)</f>
        <v>5</v>
      </c>
      <c r="M419" s="42" t="str">
        <f>VLOOKUP($D419,Sheet1!$D$5:$F$192,2,TRUE)</f>
        <v>)~|</v>
      </c>
      <c r="N419" s="23">
        <f>FLOOR(VLOOKUP($D419,Sheet1!$G$5:$I$192,3,TRUE),1)</f>
        <v>6</v>
      </c>
      <c r="O419" s="42" t="str">
        <f>VLOOKUP($D419,Sheet1!$G$5:$I$192,2,TRUE)</f>
        <v>')|(</v>
      </c>
      <c r="P419" s="23">
        <v>1</v>
      </c>
      <c r="Q419" s="43" t="str">
        <f>VLOOKUP($D419,Sheet1!$J$5:$L$192,2,TRUE)</f>
        <v>')|(.</v>
      </c>
      <c r="R419" s="23">
        <f>FLOOR(VLOOKUP($D419,Sheet1!$M$5:$O$192,3,TRUE),1)</f>
        <v>23</v>
      </c>
      <c r="S419" s="42" t="str">
        <f>VLOOKUP($D419,Sheet1!$M$5:$O$192,2,TRUE)</f>
        <v>')|(.</v>
      </c>
      <c r="T419" s="117">
        <f>IF(ABS(D419-VLOOKUP($D419,Sheet1!$M$5:$T$192,8,TRUE))&lt;10^-10,"SoCA",D419-VLOOKUP($D419,Sheet1!$M$5:$T$192,8,TRUE))</f>
        <v>-0.14988444576557036</v>
      </c>
      <c r="U419" s="109">
        <f>IF(VLOOKUP($D419,Sheet1!$M$5:$U$192,9,TRUE)=0,"",IF(ABS(D419-VLOOKUP($D419,Sheet1!$M$5:$U$192,9,TRUE))&lt;10^-10,"Alt.",D419-VLOOKUP($D419,Sheet1!$M$5:$U$192,9,TRUE)))</f>
        <v>-0.17684474096800429</v>
      </c>
      <c r="V419" s="132">
        <f>$D419-Sheet1!$M$3*$R419</f>
        <v>-0.15304424245841552</v>
      </c>
      <c r="Z419" s="6"/>
      <c r="AA419" s="61"/>
    </row>
    <row r="420" spans="1:27" ht="13.5">
      <c r="A420" t="s">
        <v>1196</v>
      </c>
      <c r="B420">
        <v>12717</v>
      </c>
      <c r="C420">
        <v>12800</v>
      </c>
      <c r="D420" s="13">
        <f t="shared" si="10"/>
        <v>11.262525598167667</v>
      </c>
      <c r="E420" s="61" t="s">
        <v>1931</v>
      </c>
      <c r="F420" s="65">
        <v>200.993343751852</v>
      </c>
      <c r="G420" s="6">
        <v>1102</v>
      </c>
      <c r="H420" s="6">
        <v>1045</v>
      </c>
      <c r="I420" s="65">
        <v>-4.6934747326938782</v>
      </c>
      <c r="J420" s="6">
        <f>VLOOKUP($D420,Sheet1!$A$5:$C$192,3,TRUE)</f>
        <v>2</v>
      </c>
      <c r="K420" s="42" t="str">
        <f>VLOOKUP($D420,Sheet1!$A$5:$C$192,2,TRUE)</f>
        <v>)|(</v>
      </c>
      <c r="L420" s="6">
        <f>FLOOR(VLOOKUP($D420,Sheet1!$D$5:$F$192,3,TRUE),1)</f>
        <v>5</v>
      </c>
      <c r="M420" s="42" t="str">
        <f>VLOOKUP($D420,Sheet1!$D$5:$F$192,2,TRUE)</f>
        <v>)~|</v>
      </c>
      <c r="N420" s="23">
        <f>FLOOR(VLOOKUP($D420,Sheet1!$G$5:$I$192,3,TRUE),1)</f>
        <v>6</v>
      </c>
      <c r="O420" s="42" t="str">
        <f>VLOOKUP($D420,Sheet1!$G$5:$I$192,2,TRUE)</f>
        <v>')|(</v>
      </c>
      <c r="P420" s="23">
        <v>1</v>
      </c>
      <c r="Q420" s="43" t="str">
        <f>VLOOKUP($D420,Sheet1!$J$5:$L$192,2,TRUE)</f>
        <v>')|(.</v>
      </c>
      <c r="R420" s="23">
        <f>FLOOR(VLOOKUP($D420,Sheet1!$M$5:$O$192,3,TRUE),1)</f>
        <v>23</v>
      </c>
      <c r="S420" s="42" t="str">
        <f>VLOOKUP($D420,Sheet1!$M$5:$O$192,2,TRUE)</f>
        <v>)~|..</v>
      </c>
      <c r="T420" s="117">
        <f>IF(ABS(D420-VLOOKUP($D420,Sheet1!$M$5:$T$192,8,TRUE))&lt;10^-10,"SoCA",D420-VLOOKUP($D420,Sheet1!$M$5:$T$192,8,TRUE))</f>
        <v>3.0652205561564116E-2</v>
      </c>
      <c r="U420" s="109">
        <f>IF(VLOOKUP($D420,Sheet1!$M$5:$U$192,9,TRUE)=0,"",IF(ABS(D420-VLOOKUP($D420,Sheet1!$M$5:$U$192,9,TRUE))&lt;10^-10,"Alt.",D420-VLOOKUP($D420,Sheet1!$M$5:$U$192,9,TRUE)))</f>
        <v>1.6600038167107201E-2</v>
      </c>
      <c r="V420" s="132">
        <f>$D420-Sheet1!$M$3*$R420</f>
        <v>4.0400536676790111E-2</v>
      </c>
      <c r="Z420" s="6"/>
      <c r="AA420" s="61"/>
    </row>
    <row r="421" spans="1:27" ht="13.5">
      <c r="A421" t="s">
        <v>1056</v>
      </c>
      <c r="B421">
        <v>8128</v>
      </c>
      <c r="C421">
        <v>8181</v>
      </c>
      <c r="D421" s="13">
        <f t="shared" si="10"/>
        <v>11.252158637104454</v>
      </c>
      <c r="E421" s="61" t="s">
        <v>1931</v>
      </c>
      <c r="F421" s="65">
        <v>228.38900918512326</v>
      </c>
      <c r="G421" s="6">
        <v>972</v>
      </c>
      <c r="H421" s="6">
        <v>905</v>
      </c>
      <c r="I421" s="65">
        <v>3.3071635988676795</v>
      </c>
      <c r="J421" s="6">
        <f>VLOOKUP($D421,Sheet1!$A$5:$C$192,3,TRUE)</f>
        <v>2</v>
      </c>
      <c r="K421" s="42" t="str">
        <f>VLOOKUP($D421,Sheet1!$A$5:$C$192,2,TRUE)</f>
        <v>)|(</v>
      </c>
      <c r="L421" s="6">
        <f>FLOOR(VLOOKUP($D421,Sheet1!$D$5:$F$192,3,TRUE),1)</f>
        <v>5</v>
      </c>
      <c r="M421" s="42" t="str">
        <f>VLOOKUP($D421,Sheet1!$D$5:$F$192,2,TRUE)</f>
        <v>)~|</v>
      </c>
      <c r="N421" s="23">
        <f>FLOOR(VLOOKUP($D421,Sheet1!$G$5:$I$192,3,TRUE),1)</f>
        <v>6</v>
      </c>
      <c r="O421" s="42" t="str">
        <f>VLOOKUP($D421,Sheet1!$G$5:$I$192,2,TRUE)</f>
        <v>')|(</v>
      </c>
      <c r="P421" s="23">
        <v>1</v>
      </c>
      <c r="Q421" s="43" t="str">
        <f>VLOOKUP($D421,Sheet1!$J$5:$L$192,2,TRUE)</f>
        <v>')|(.</v>
      </c>
      <c r="R421" s="23">
        <f>FLOOR(VLOOKUP($D421,Sheet1!$M$5:$O$192,3,TRUE),1)</f>
        <v>23</v>
      </c>
      <c r="S421" s="42" t="str">
        <f>VLOOKUP($D421,Sheet1!$M$5:$O$192,2,TRUE)</f>
        <v>)~|..</v>
      </c>
      <c r="T421" s="117">
        <f>IF(ABS(D421-VLOOKUP($D421,Sheet1!$M$5:$T$192,8,TRUE))&lt;10^-10,"SoCA",D421-VLOOKUP($D421,Sheet1!$M$5:$T$192,8,TRUE))</f>
        <v>2.0285244498351673E-2</v>
      </c>
      <c r="U421" s="109">
        <f>IF(VLOOKUP($D421,Sheet1!$M$5:$U$192,9,TRUE)=0,"",IF(ABS(D421-VLOOKUP($D421,Sheet1!$M$5:$U$192,9,TRUE))&lt;10^-10,"Alt.",D421-VLOOKUP($D421,Sheet1!$M$5:$U$192,9,TRUE)))</f>
        <v>6.2330771038947574E-3</v>
      </c>
      <c r="V421" s="132">
        <f>$D421-Sheet1!$M$3*$R421</f>
        <v>3.0033575613577668E-2</v>
      </c>
      <c r="Z421" s="6"/>
      <c r="AA421" s="61"/>
    </row>
    <row r="422" spans="1:27" ht="13.5">
      <c r="A422" t="s">
        <v>1256</v>
      </c>
      <c r="B422">
        <v>144128</v>
      </c>
      <c r="C422">
        <v>145071</v>
      </c>
      <c r="D422" s="13">
        <f t="shared" si="10"/>
        <v>11.290215348427539</v>
      </c>
      <c r="E422" s="61" t="s">
        <v>1931</v>
      </c>
      <c r="F422" s="65">
        <v>763.89836290258052</v>
      </c>
      <c r="G422" s="6">
        <v>1162</v>
      </c>
      <c r="H422" s="6">
        <v>1105</v>
      </c>
      <c r="I422" s="65">
        <v>5.3048203085033689</v>
      </c>
      <c r="J422" s="6">
        <f>VLOOKUP($D422,Sheet1!$A$5:$C$192,3,TRUE)</f>
        <v>2</v>
      </c>
      <c r="K422" s="42" t="str">
        <f>VLOOKUP($D422,Sheet1!$A$5:$C$192,2,TRUE)</f>
        <v>)|(</v>
      </c>
      <c r="L422" s="6">
        <f>FLOOR(VLOOKUP($D422,Sheet1!$D$5:$F$192,3,TRUE),1)</f>
        <v>5</v>
      </c>
      <c r="M422" s="42" t="str">
        <f>VLOOKUP($D422,Sheet1!$D$5:$F$192,2,TRUE)</f>
        <v>)~|</v>
      </c>
      <c r="N422" s="23">
        <f>FLOOR(VLOOKUP($D422,Sheet1!$G$5:$I$192,3,TRUE),1)</f>
        <v>6</v>
      </c>
      <c r="O422" s="42" t="str">
        <f>VLOOKUP($D422,Sheet1!$G$5:$I$192,2,TRUE)</f>
        <v>')|(</v>
      </c>
      <c r="P422" s="23">
        <v>1</v>
      </c>
      <c r="Q422" s="43" t="str">
        <f>VLOOKUP($D422,Sheet1!$J$5:$L$192,2,TRUE)</f>
        <v>')|(.</v>
      </c>
      <c r="R422" s="23">
        <f>FLOOR(VLOOKUP($D422,Sheet1!$M$5:$O$192,3,TRUE),1)</f>
        <v>23</v>
      </c>
      <c r="S422" s="42" t="str">
        <f>VLOOKUP($D422,Sheet1!$M$5:$O$192,2,TRUE)</f>
        <v>)~|..</v>
      </c>
      <c r="T422" s="117">
        <f>IF(ABS(D422-VLOOKUP($D422,Sheet1!$M$5:$T$192,8,TRUE))&lt;10^-10,"SoCA",D422-VLOOKUP($D422,Sheet1!$M$5:$T$192,8,TRUE))</f>
        <v>5.8341955821436642E-2</v>
      </c>
      <c r="U422" s="109">
        <f>IF(VLOOKUP($D422,Sheet1!$M$5:$U$192,9,TRUE)=0,"",IF(ABS(D422-VLOOKUP($D422,Sheet1!$M$5:$U$192,9,TRUE))&lt;10^-10,"Alt.",D422-VLOOKUP($D422,Sheet1!$M$5:$U$192,9,TRUE)))</f>
        <v>4.4289788426979726E-2</v>
      </c>
      <c r="V422" s="132">
        <f>$D422-Sheet1!$M$3*$R422</f>
        <v>6.8090286936662636E-2</v>
      </c>
      <c r="Z422" s="6"/>
      <c r="AA422" s="61"/>
    </row>
    <row r="423" spans="1:27" ht="13.5">
      <c r="A423" s="48" t="s">
        <v>51</v>
      </c>
      <c r="B423" s="48">
        <f>2^8*11</f>
        <v>2816</v>
      </c>
      <c r="C423" s="48">
        <f>3^4*5*7</f>
        <v>2835</v>
      </c>
      <c r="D423" s="13">
        <f t="shared" si="10"/>
        <v>11.641681430752847</v>
      </c>
      <c r="E423" s="61">
        <v>11</v>
      </c>
      <c r="F423" s="65">
        <v>27.828809070578654</v>
      </c>
      <c r="G423" s="6">
        <v>43</v>
      </c>
      <c r="H423" s="6">
        <v>41</v>
      </c>
      <c r="I423" s="65">
        <v>3.2831792613539483</v>
      </c>
      <c r="J423" s="6">
        <f>VLOOKUP($D423,Sheet1!$A$5:$C$192,3,TRUE)</f>
        <v>2</v>
      </c>
      <c r="K423" s="42" t="str">
        <f>VLOOKUP($D423,Sheet1!$A$5:$C$192,2,TRUE)</f>
        <v>)|(</v>
      </c>
      <c r="L423" s="6">
        <f>FLOOR(VLOOKUP($D423,Sheet1!$D$5:$F$192,3,TRUE),1)</f>
        <v>5</v>
      </c>
      <c r="M423" s="42" t="str">
        <f>VLOOKUP($D423,Sheet1!$D$5:$F$192,2,TRUE)</f>
        <v>)~|</v>
      </c>
      <c r="N423" s="39">
        <f>FLOOR(VLOOKUP($D423,Sheet1!$G$5:$I$192,3,TRUE),1)</f>
        <v>6</v>
      </c>
      <c r="O423" s="44" t="str">
        <f>VLOOKUP($D423,Sheet1!$G$5:$I$192,2,TRUE)</f>
        <v>')|(</v>
      </c>
      <c r="P423" s="39">
        <v>1</v>
      </c>
      <c r="Q423" s="44" t="str">
        <f>VLOOKUP($D423,Sheet1!$J$5:$L$192,2,TRUE)</f>
        <v>')|(</v>
      </c>
      <c r="R423" s="39">
        <f>FLOOR(VLOOKUP($D423,Sheet1!$M$5:$O$192,3,TRUE),1)</f>
        <v>24</v>
      </c>
      <c r="S423" s="44" t="str">
        <f>VLOOKUP($D423,Sheet1!$M$5:$O$192,2,TRUE)</f>
        <v>')|(</v>
      </c>
      <c r="T423" s="113" t="str">
        <f>IF(ABS(D423-VLOOKUP($D423,Sheet1!$M$5:$T$192,8,TRUE))&lt;10^-10,"SoCA",D423-VLOOKUP($D423,Sheet1!$M$5:$T$192,8,TRUE))</f>
        <v>SoCA</v>
      </c>
      <c r="U423" s="118" t="str">
        <f>IF(VLOOKUP($D423,Sheet1!$M$5:$U$192,9,TRUE)=0,"",IF(ABS(D423-VLOOKUP($D423,Sheet1!$M$5:$U$192,9,TRUE))&lt;10^-10,"Alt.",D423-VLOOKUP($D423,Sheet1!$M$5:$U$192,9,TRUE)))</f>
        <v/>
      </c>
      <c r="V423" s="136">
        <f>$D423-Sheet1!$M$3*$R423</f>
        <v>-6.8362111672415793E-2</v>
      </c>
      <c r="Z423" s="6"/>
      <c r="AA423" s="61"/>
    </row>
    <row r="424" spans="1:27" ht="13.5">
      <c r="A424" s="52" t="s">
        <v>268</v>
      </c>
      <c r="B424" s="52">
        <f>2^11*5*7</f>
        <v>71680</v>
      </c>
      <c r="C424" s="52">
        <f>3^8*11</f>
        <v>72171</v>
      </c>
      <c r="D424" s="13">
        <f t="shared" si="10"/>
        <v>11.818328953896335</v>
      </c>
      <c r="E424" s="61">
        <v>11</v>
      </c>
      <c r="F424" s="65">
        <v>31.250543617893669</v>
      </c>
      <c r="G424" s="6">
        <v>68</v>
      </c>
      <c r="H424" s="6">
        <v>70</v>
      </c>
      <c r="I424" s="65">
        <v>7.2723024297920382</v>
      </c>
      <c r="J424" s="6">
        <f>VLOOKUP($D424,Sheet1!$A$5:$C$192,3,TRUE)</f>
        <v>2</v>
      </c>
      <c r="K424" s="42" t="str">
        <f>VLOOKUP($D424,Sheet1!$A$5:$C$192,2,TRUE)</f>
        <v>)|(</v>
      </c>
      <c r="L424" s="6">
        <f>FLOOR(VLOOKUP($D424,Sheet1!$D$5:$F$192,3,TRUE),1)</f>
        <v>5</v>
      </c>
      <c r="M424" s="42" t="str">
        <f>VLOOKUP($D424,Sheet1!$D$5:$F$192,2,TRUE)</f>
        <v>)~|</v>
      </c>
      <c r="N424" s="23">
        <f>FLOOR(VLOOKUP($D424,Sheet1!$G$5:$I$192,3,TRUE),1)</f>
        <v>6</v>
      </c>
      <c r="O424" s="42" t="str">
        <f>VLOOKUP($D424,Sheet1!$G$5:$I$192,2,TRUE)</f>
        <v>')|(</v>
      </c>
      <c r="P424" s="23">
        <v>1</v>
      </c>
      <c r="Q424" s="43" t="str">
        <f>VLOOKUP($D424,Sheet1!$J$5:$L$192,2,TRUE)</f>
        <v>')|(</v>
      </c>
      <c r="R424" s="40">
        <f>FLOOR(VLOOKUP($D424,Sheet1!$M$5:$O$192,3,TRUE),1)</f>
        <v>24</v>
      </c>
      <c r="S424" s="46" t="str">
        <f>VLOOKUP($D424,Sheet1!$M$5:$O$192,2,TRUE)</f>
        <v>)~|.</v>
      </c>
      <c r="T424" s="115">
        <f>IF(ABS(D424-VLOOKUP($D424,Sheet1!$M$5:$T$192,8,TRUE))&lt;10^-10,"SoCA",D424-VLOOKUP($D424,Sheet1!$M$5:$T$192,8,TRUE))</f>
        <v>0.17664752314345833</v>
      </c>
      <c r="U424" s="115">
        <f>IF(VLOOKUP($D424,Sheet1!$M$5:$U$192,9,TRUE)=0,"",IF(ABS(D424-VLOOKUP($D424,Sheet1!$M$5:$U$192,9,TRUE))&lt;10^-10,"Alt.",D424-VLOOKUP($D424,Sheet1!$M$5:$U$192,9,TRUE)))</f>
        <v>0.1496872279410244</v>
      </c>
      <c r="V424" s="132">
        <f>$D424-Sheet1!$M$3*$R424</f>
        <v>0.10828541147107273</v>
      </c>
      <c r="Z424" s="6"/>
      <c r="AA424" s="61"/>
    </row>
    <row r="425" spans="1:27" ht="13.5">
      <c r="A425" s="6" t="s">
        <v>434</v>
      </c>
      <c r="B425" s="6">
        <f>3^6*5^4</f>
        <v>455625</v>
      </c>
      <c r="C425" s="6">
        <f>2^16*7</f>
        <v>458752</v>
      </c>
      <c r="D425" s="13">
        <f t="shared" si="10"/>
        <v>11.841045817461087</v>
      </c>
      <c r="E425" s="61">
        <v>7</v>
      </c>
      <c r="F425" s="65">
        <v>44.781961746976513</v>
      </c>
      <c r="G425" s="6">
        <v>270</v>
      </c>
      <c r="H425" s="6">
        <v>272</v>
      </c>
      <c r="I425" s="65">
        <v>-6.7290963302596829</v>
      </c>
      <c r="J425" s="6">
        <f>VLOOKUP($D425,Sheet1!$A$5:$C$192,3,TRUE)</f>
        <v>2</v>
      </c>
      <c r="K425" s="42" t="str">
        <f>VLOOKUP($D425,Sheet1!$A$5:$C$192,2,TRUE)</f>
        <v>)|(</v>
      </c>
      <c r="L425" s="6">
        <f>FLOOR(VLOOKUP($D425,Sheet1!$D$5:$F$192,3,TRUE),1)</f>
        <v>5</v>
      </c>
      <c r="M425" s="42" t="str">
        <f>VLOOKUP($D425,Sheet1!$D$5:$F$192,2,TRUE)</f>
        <v>)~|</v>
      </c>
      <c r="N425" s="23">
        <f>FLOOR(VLOOKUP($D425,Sheet1!$G$5:$I$192,3,TRUE),1)</f>
        <v>6</v>
      </c>
      <c r="O425" s="42" t="str">
        <f>VLOOKUP($D425,Sheet1!$G$5:$I$192,2,TRUE)</f>
        <v>')|(</v>
      </c>
      <c r="P425" s="23">
        <v>1</v>
      </c>
      <c r="Q425" s="43" t="str">
        <f>VLOOKUP($D425,Sheet1!$J$5:$L$192,2,TRUE)</f>
        <v>')|(</v>
      </c>
      <c r="R425" s="23">
        <f>FLOOR(VLOOKUP($D425,Sheet1!$M$5:$O$192,3,TRUE),1)</f>
        <v>24</v>
      </c>
      <c r="S425" s="42" t="str">
        <f>VLOOKUP($D425,Sheet1!$M$5:$O$192,2,TRUE)</f>
        <v>)~|.</v>
      </c>
      <c r="T425" s="117">
        <f>IF(ABS(D425-VLOOKUP($D425,Sheet1!$M$5:$T$192,8,TRUE))&lt;10^-10,"SoCA",D425-VLOOKUP($D425,Sheet1!$M$5:$T$192,8,TRUE))</f>
        <v>0.19936438670820955</v>
      </c>
      <c r="U425" s="109">
        <f>IF(VLOOKUP($D425,Sheet1!$M$5:$U$192,9,TRUE)=0,"",IF(ABS(D425-VLOOKUP($D425,Sheet1!$M$5:$U$192,9,TRUE))&lt;10^-10,"Alt.",D425-VLOOKUP($D425,Sheet1!$M$5:$U$192,9,TRUE)))</f>
        <v>0.17240409150577563</v>
      </c>
      <c r="V425" s="132">
        <f>$D425-Sheet1!$M$3*$R425</f>
        <v>0.13100227503582396</v>
      </c>
      <c r="Z425" s="6"/>
      <c r="AA425" s="61"/>
    </row>
    <row r="426" spans="1:27" ht="13.5">
      <c r="A426" t="s">
        <v>624</v>
      </c>
      <c r="B426">
        <v>10935</v>
      </c>
      <c r="C426">
        <v>11008</v>
      </c>
      <c r="D426" s="13">
        <f t="shared" si="10"/>
        <v>11.518985719970857</v>
      </c>
      <c r="E426" s="61">
        <v>43</v>
      </c>
      <c r="F426" s="65">
        <v>51.64445346281687</v>
      </c>
      <c r="G426" s="6">
        <v>418</v>
      </c>
      <c r="H426" s="6">
        <v>469</v>
      </c>
      <c r="I426" s="65">
        <v>-7.709265916728393</v>
      </c>
      <c r="J426" s="6">
        <f>VLOOKUP($D426,Sheet1!$A$5:$C$192,3,TRUE)</f>
        <v>2</v>
      </c>
      <c r="K426" s="42" t="str">
        <f>VLOOKUP($D426,Sheet1!$A$5:$C$192,2,TRUE)</f>
        <v>)|(</v>
      </c>
      <c r="L426" s="6">
        <f>FLOOR(VLOOKUP($D426,Sheet1!$D$5:$F$192,3,TRUE),1)</f>
        <v>5</v>
      </c>
      <c r="M426" s="42" t="str">
        <f>VLOOKUP($D426,Sheet1!$D$5:$F$192,2,TRUE)</f>
        <v>)~|</v>
      </c>
      <c r="N426" s="23">
        <f>FLOOR(VLOOKUP($D426,Sheet1!$G$5:$I$192,3,TRUE),1)</f>
        <v>6</v>
      </c>
      <c r="O426" s="42" t="str">
        <f>VLOOKUP($D426,Sheet1!$G$5:$I$192,2,TRUE)</f>
        <v>')|(</v>
      </c>
      <c r="P426" s="23">
        <v>1</v>
      </c>
      <c r="Q426" s="43" t="str">
        <f>VLOOKUP($D426,Sheet1!$J$5:$L$192,2,TRUE)</f>
        <v>')|(</v>
      </c>
      <c r="R426" s="23">
        <f>FLOOR(VLOOKUP($D426,Sheet1!$M$5:$O$192,3,TRUE),1)</f>
        <v>24</v>
      </c>
      <c r="S426" s="42" t="str">
        <f>VLOOKUP($D426,Sheet1!$M$5:$O$192,2,TRUE)</f>
        <v>')|(</v>
      </c>
      <c r="T426" s="117">
        <f>IF(ABS(D426-VLOOKUP($D426,Sheet1!$M$5:$T$192,8,TRUE))&lt;10^-10,"SoCA",D426-VLOOKUP($D426,Sheet1!$M$5:$T$192,8,TRUE))</f>
        <v>-0.12269571078199881</v>
      </c>
      <c r="U426" s="109" t="str">
        <f>IF(VLOOKUP($D426,Sheet1!$M$5:$U$192,9,TRUE)=0,"",IF(ABS(D426-VLOOKUP($D426,Sheet1!$M$5:$U$192,9,TRUE))&lt;10^-10,"Alt.",D426-VLOOKUP($D426,Sheet1!$M$5:$U$192,9,TRUE)))</f>
        <v/>
      </c>
      <c r="V426" s="132">
        <f>$D426-Sheet1!$M$3*$R426</f>
        <v>-0.19105782245440572</v>
      </c>
      <c r="Z426" s="6"/>
      <c r="AA426" s="61"/>
    </row>
    <row r="427" spans="1:27" ht="13.5">
      <c r="A427" t="s">
        <v>1591</v>
      </c>
      <c r="B427">
        <v>203391</v>
      </c>
      <c r="C427">
        <v>204800</v>
      </c>
      <c r="D427" s="13">
        <f t="shared" si="10"/>
        <v>11.951848342320162</v>
      </c>
      <c r="E427" s="61">
        <v>31</v>
      </c>
      <c r="F427" s="65">
        <v>56.288972029568946</v>
      </c>
      <c r="G427" s="6">
        <v>1498</v>
      </c>
      <c r="H427" s="6">
        <v>1440</v>
      </c>
      <c r="I427" s="65">
        <v>-8.7359188453908327</v>
      </c>
      <c r="J427" s="6">
        <f>VLOOKUP($D427,Sheet1!$A$5:$C$192,3,TRUE)</f>
        <v>2</v>
      </c>
      <c r="K427" s="42" t="str">
        <f>VLOOKUP($D427,Sheet1!$A$5:$C$192,2,TRUE)</f>
        <v>)|(</v>
      </c>
      <c r="L427" s="6">
        <f>FLOOR(VLOOKUP($D427,Sheet1!$D$5:$F$192,3,TRUE),1)</f>
        <v>5</v>
      </c>
      <c r="M427" s="42" t="str">
        <f>VLOOKUP($D427,Sheet1!$D$5:$F$192,2,TRUE)</f>
        <v>)~|</v>
      </c>
      <c r="N427" s="23">
        <f>FLOOR(VLOOKUP($D427,Sheet1!$G$5:$I$192,3,TRUE),1)</f>
        <v>6</v>
      </c>
      <c r="O427" s="42" t="str">
        <f>VLOOKUP($D427,Sheet1!$G$5:$I$192,2,TRUE)</f>
        <v>')|(</v>
      </c>
      <c r="P427" s="23">
        <v>1</v>
      </c>
      <c r="Q427" s="43" t="str">
        <f>VLOOKUP($D427,Sheet1!$J$5:$L$192,2,TRUE)</f>
        <v>')|(</v>
      </c>
      <c r="R427" s="23">
        <f>FLOOR(VLOOKUP($D427,Sheet1!$M$5:$O$192,3,TRUE),1)</f>
        <v>24</v>
      </c>
      <c r="S427" s="42" t="str">
        <f>VLOOKUP($D427,Sheet1!$M$5:$O$192,2,TRUE)</f>
        <v>)~|.</v>
      </c>
      <c r="T427" s="117">
        <f>IF(ABS(D427-VLOOKUP($D427,Sheet1!$M$5:$T$192,8,TRUE))&lt;10^-10,"SoCA",D427-VLOOKUP($D427,Sheet1!$M$5:$T$192,8,TRUE))</f>
        <v>0.31016691156728449</v>
      </c>
      <c r="U427" s="109">
        <f>IF(VLOOKUP($D427,Sheet1!$M$5:$U$192,9,TRUE)=0,"",IF(ABS(D427-VLOOKUP($D427,Sheet1!$M$5:$U$192,9,TRUE))&lt;10^-10,"Alt.",D427-VLOOKUP($D427,Sheet1!$M$5:$U$192,9,TRUE)))</f>
        <v>0.28320661636485056</v>
      </c>
      <c r="V427" s="132">
        <f>$D427-Sheet1!$M$3*$R427</f>
        <v>0.24180479989489889</v>
      </c>
      <c r="Z427" s="6"/>
      <c r="AA427" s="61"/>
    </row>
    <row r="428" spans="1:27" ht="13.5">
      <c r="A428" t="s">
        <v>895</v>
      </c>
      <c r="B428">
        <v>147</v>
      </c>
      <c r="C428">
        <v>148</v>
      </c>
      <c r="D428" s="13">
        <f t="shared" si="10"/>
        <v>11.737224951102476</v>
      </c>
      <c r="E428" s="61">
        <v>37</v>
      </c>
      <c r="F428" s="65">
        <v>61.258128336645164</v>
      </c>
      <c r="G428" s="6">
        <v>804</v>
      </c>
      <c r="H428" s="6">
        <v>743</v>
      </c>
      <c r="I428" s="65">
        <v>-1.7227037012779742</v>
      </c>
      <c r="J428" s="6">
        <f>VLOOKUP($D428,Sheet1!$A$5:$C$192,3,TRUE)</f>
        <v>2</v>
      </c>
      <c r="K428" s="42" t="str">
        <f>VLOOKUP($D428,Sheet1!$A$5:$C$192,2,TRUE)</f>
        <v>)|(</v>
      </c>
      <c r="L428" s="6">
        <f>FLOOR(VLOOKUP($D428,Sheet1!$D$5:$F$192,3,TRUE),1)</f>
        <v>5</v>
      </c>
      <c r="M428" s="42" t="str">
        <f>VLOOKUP($D428,Sheet1!$D$5:$F$192,2,TRUE)</f>
        <v>)~|</v>
      </c>
      <c r="N428" s="23">
        <f>FLOOR(VLOOKUP($D428,Sheet1!$G$5:$I$192,3,TRUE),1)</f>
        <v>6</v>
      </c>
      <c r="O428" s="42" t="str">
        <f>VLOOKUP($D428,Sheet1!$G$5:$I$192,2,TRUE)</f>
        <v>')|(</v>
      </c>
      <c r="P428" s="23">
        <v>1</v>
      </c>
      <c r="Q428" s="43" t="str">
        <f>VLOOKUP($D428,Sheet1!$J$5:$L$192,2,TRUE)</f>
        <v>')|(</v>
      </c>
      <c r="R428" s="23">
        <f>FLOOR(VLOOKUP($D428,Sheet1!$M$5:$O$192,3,TRUE),1)</f>
        <v>24</v>
      </c>
      <c r="S428" s="42" t="str">
        <f>VLOOKUP($D428,Sheet1!$M$5:$O$192,2,TRUE)</f>
        <v>)~|.</v>
      </c>
      <c r="T428" s="117">
        <f>IF(ABS(D428-VLOOKUP($D428,Sheet1!$M$5:$T$192,8,TRUE))&lt;10^-10,"SoCA",D428-VLOOKUP($D428,Sheet1!$M$5:$T$192,8,TRUE))</f>
        <v>9.554352034959912E-2</v>
      </c>
      <c r="U428" s="109">
        <f>IF(VLOOKUP($D428,Sheet1!$M$5:$U$192,9,TRUE)=0,"",IF(ABS(D428-VLOOKUP($D428,Sheet1!$M$5:$U$192,9,TRUE))&lt;10^-10,"Alt.",D428-VLOOKUP($D428,Sheet1!$M$5:$U$192,9,TRUE)))</f>
        <v>6.8583225147165194E-2</v>
      </c>
      <c r="V428" s="132">
        <f>$D428-Sheet1!$M$3*$R428</f>
        <v>2.7181408677213525E-2</v>
      </c>
      <c r="Z428" s="6"/>
      <c r="AA428" s="61"/>
    </row>
    <row r="429" spans="1:27" ht="13.5">
      <c r="A429" t="s">
        <v>1296</v>
      </c>
      <c r="B429">
        <v>41067</v>
      </c>
      <c r="C429">
        <v>41344</v>
      </c>
      <c r="D429" s="13">
        <f t="shared" si="10"/>
        <v>11.638097767151663</v>
      </c>
      <c r="E429" s="61">
        <v>19</v>
      </c>
      <c r="F429" s="65">
        <v>62.971670388996905</v>
      </c>
      <c r="G429" s="6">
        <v>1205</v>
      </c>
      <c r="H429" s="6">
        <v>1145</v>
      </c>
      <c r="I429" s="65">
        <v>-5.716600079422129</v>
      </c>
      <c r="J429" s="6">
        <f>VLOOKUP($D429,Sheet1!$A$5:$C$192,3,TRUE)</f>
        <v>2</v>
      </c>
      <c r="K429" s="42" t="str">
        <f>VLOOKUP($D429,Sheet1!$A$5:$C$192,2,TRUE)</f>
        <v>)|(</v>
      </c>
      <c r="L429" s="6">
        <f>FLOOR(VLOOKUP($D429,Sheet1!$D$5:$F$192,3,TRUE),1)</f>
        <v>5</v>
      </c>
      <c r="M429" s="42" t="str">
        <f>VLOOKUP($D429,Sheet1!$D$5:$F$192,2,TRUE)</f>
        <v>)~|</v>
      </c>
      <c r="N429" s="23">
        <f>FLOOR(VLOOKUP($D429,Sheet1!$G$5:$I$192,3,TRUE),1)</f>
        <v>6</v>
      </c>
      <c r="O429" s="42" t="str">
        <f>VLOOKUP($D429,Sheet1!$G$5:$I$192,2,TRUE)</f>
        <v>')|(</v>
      </c>
      <c r="P429" s="23">
        <v>1</v>
      </c>
      <c r="Q429" s="43" t="str">
        <f>VLOOKUP($D429,Sheet1!$J$5:$L$192,2,TRUE)</f>
        <v>')|(</v>
      </c>
      <c r="R429" s="23">
        <f>FLOOR(VLOOKUP($D429,Sheet1!$M$5:$O$192,3,TRUE),1)</f>
        <v>24</v>
      </c>
      <c r="S429" s="42" t="str">
        <f>VLOOKUP($D429,Sheet1!$M$5:$O$192,2,TRUE)</f>
        <v>')|(</v>
      </c>
      <c r="T429" s="117">
        <f>IF(ABS(D429-VLOOKUP($D429,Sheet1!$M$5:$T$192,8,TRUE))&lt;10^-10,"SoCA",D429-VLOOKUP($D429,Sheet1!$M$5:$T$192,8,TRUE))</f>
        <v>-3.5836636011925549E-3</v>
      </c>
      <c r="U429" s="109" t="str">
        <f>IF(VLOOKUP($D429,Sheet1!$M$5:$U$192,9,TRUE)=0,"",IF(ABS(D429-VLOOKUP($D429,Sheet1!$M$5:$U$192,9,TRUE))&lt;10^-10,"Alt.",D429-VLOOKUP($D429,Sheet1!$M$5:$U$192,9,TRUE)))</f>
        <v/>
      </c>
      <c r="V429" s="132">
        <f>$D429-Sheet1!$M$3*$R429</f>
        <v>-7.1945775273599466E-2</v>
      </c>
      <c r="Z429" s="6"/>
      <c r="AA429" s="61"/>
    </row>
    <row r="430" spans="1:27" ht="13.5">
      <c r="A430" t="s">
        <v>758</v>
      </c>
      <c r="B430">
        <v>146</v>
      </c>
      <c r="C430">
        <v>147</v>
      </c>
      <c r="D430" s="13">
        <f t="shared" si="10"/>
        <v>11.817343147616647</v>
      </c>
      <c r="E430" s="61" t="s">
        <v>1931</v>
      </c>
      <c r="F430" s="65">
        <v>104.43977082984702</v>
      </c>
      <c r="G430" s="6">
        <v>655</v>
      </c>
      <c r="H430" s="6">
        <v>604</v>
      </c>
      <c r="I430" s="65">
        <v>0.2723631294761667</v>
      </c>
      <c r="J430" s="6">
        <f>VLOOKUP($D430,Sheet1!$A$5:$C$192,3,TRUE)</f>
        <v>2</v>
      </c>
      <c r="K430" s="42" t="str">
        <f>VLOOKUP($D430,Sheet1!$A$5:$C$192,2,TRUE)</f>
        <v>)|(</v>
      </c>
      <c r="L430" s="6">
        <f>FLOOR(VLOOKUP($D430,Sheet1!$D$5:$F$192,3,TRUE),1)</f>
        <v>5</v>
      </c>
      <c r="M430" s="42" t="str">
        <f>VLOOKUP($D430,Sheet1!$D$5:$F$192,2,TRUE)</f>
        <v>)~|</v>
      </c>
      <c r="N430" s="23">
        <f>FLOOR(VLOOKUP($D430,Sheet1!$G$5:$I$192,3,TRUE),1)</f>
        <v>6</v>
      </c>
      <c r="O430" s="42" t="str">
        <f>VLOOKUP($D430,Sheet1!$G$5:$I$192,2,TRUE)</f>
        <v>')|(</v>
      </c>
      <c r="P430" s="23">
        <v>1</v>
      </c>
      <c r="Q430" s="43" t="str">
        <f>VLOOKUP($D430,Sheet1!$J$5:$L$192,2,TRUE)</f>
        <v>')|(</v>
      </c>
      <c r="R430" s="23">
        <f>FLOOR(VLOOKUP($D430,Sheet1!$M$5:$O$192,3,TRUE),1)</f>
        <v>24</v>
      </c>
      <c r="S430" s="42" t="str">
        <f>VLOOKUP($D430,Sheet1!$M$5:$O$192,2,TRUE)</f>
        <v>)~|.</v>
      </c>
      <c r="T430" s="117">
        <f>IF(ABS(D430-VLOOKUP($D430,Sheet1!$M$5:$T$192,8,TRUE))&lt;10^-10,"SoCA",D430-VLOOKUP($D430,Sheet1!$M$5:$T$192,8,TRUE))</f>
        <v>0.17566171686376997</v>
      </c>
      <c r="U430" s="109">
        <f>IF(VLOOKUP($D430,Sheet1!$M$5:$U$192,9,TRUE)=0,"",IF(ABS(D430-VLOOKUP($D430,Sheet1!$M$5:$U$192,9,TRUE))&lt;10^-10,"Alt.",D430-VLOOKUP($D430,Sheet1!$M$5:$U$192,9,TRUE)))</f>
        <v>0.14870142166133604</v>
      </c>
      <c r="V430" s="132">
        <f>$D430-Sheet1!$M$3*$R430</f>
        <v>0.10729960519138437</v>
      </c>
      <c r="Z430" s="6"/>
      <c r="AA430" s="61"/>
    </row>
    <row r="431" spans="1:27" ht="13.5">
      <c r="A431" t="s">
        <v>1198</v>
      </c>
      <c r="B431">
        <v>2511</v>
      </c>
      <c r="C431">
        <v>2528</v>
      </c>
      <c r="D431" s="13">
        <f t="shared" si="10"/>
        <v>11.681321886723676</v>
      </c>
      <c r="E431" s="61" t="s">
        <v>1931</v>
      </c>
      <c r="F431" s="65">
        <v>110.55184151995185</v>
      </c>
      <c r="G431" s="6">
        <v>1106</v>
      </c>
      <c r="H431" s="6">
        <v>1047</v>
      </c>
      <c r="I431" s="65">
        <v>-4.7192615459382194</v>
      </c>
      <c r="J431" s="6">
        <f>VLOOKUP($D431,Sheet1!$A$5:$C$192,3,TRUE)</f>
        <v>2</v>
      </c>
      <c r="K431" s="42" t="str">
        <f>VLOOKUP($D431,Sheet1!$A$5:$C$192,2,TRUE)</f>
        <v>)|(</v>
      </c>
      <c r="L431" s="6">
        <f>FLOOR(VLOOKUP($D431,Sheet1!$D$5:$F$192,3,TRUE),1)</f>
        <v>5</v>
      </c>
      <c r="M431" s="42" t="str">
        <f>VLOOKUP($D431,Sheet1!$D$5:$F$192,2,TRUE)</f>
        <v>)~|</v>
      </c>
      <c r="N431" s="23">
        <f>FLOOR(VLOOKUP($D431,Sheet1!$G$5:$I$192,3,TRUE),1)</f>
        <v>6</v>
      </c>
      <c r="O431" s="42" t="str">
        <f>VLOOKUP($D431,Sheet1!$G$5:$I$192,2,TRUE)</f>
        <v>')|(</v>
      </c>
      <c r="P431" s="23">
        <v>1</v>
      </c>
      <c r="Q431" s="43" t="str">
        <f>VLOOKUP($D431,Sheet1!$J$5:$L$192,2,TRUE)</f>
        <v>')|(</v>
      </c>
      <c r="R431" s="23">
        <f>FLOOR(VLOOKUP($D431,Sheet1!$M$5:$O$192,3,TRUE),1)</f>
        <v>24</v>
      </c>
      <c r="S431" s="42" t="str">
        <f>VLOOKUP($D431,Sheet1!$M$5:$O$192,2,TRUE)</f>
        <v>')|(</v>
      </c>
      <c r="T431" s="117">
        <f>IF(ABS(D431-VLOOKUP($D431,Sheet1!$M$5:$T$192,8,TRUE))&lt;10^-10,"SoCA",D431-VLOOKUP($D431,Sheet1!$M$5:$T$192,8,TRUE))</f>
        <v>3.9640455970820554E-2</v>
      </c>
      <c r="U431" s="109" t="str">
        <f>IF(VLOOKUP($D431,Sheet1!$M$5:$U$192,9,TRUE)=0,"",IF(ABS(D431-VLOOKUP($D431,Sheet1!$M$5:$U$192,9,TRUE))&lt;10^-10,"Alt.",D431-VLOOKUP($D431,Sheet1!$M$5:$U$192,9,TRUE)))</f>
        <v/>
      </c>
      <c r="V431" s="132">
        <f>$D431-Sheet1!$M$3*$R431</f>
        <v>-2.8721655701586357E-2</v>
      </c>
      <c r="Z431" s="6"/>
      <c r="AA431" s="61"/>
    </row>
    <row r="432" spans="1:27" ht="13.5">
      <c r="A432" t="s">
        <v>650</v>
      </c>
      <c r="B432">
        <v>747</v>
      </c>
      <c r="C432">
        <v>752</v>
      </c>
      <c r="D432" s="13">
        <f t="shared" si="10"/>
        <v>11.549302666080445</v>
      </c>
      <c r="E432" s="61" t="s">
        <v>1931</v>
      </c>
      <c r="F432" s="65">
        <v>130.1422652727839</v>
      </c>
      <c r="G432" s="6">
        <v>544</v>
      </c>
      <c r="H432" s="6">
        <v>495</v>
      </c>
      <c r="I432" s="65">
        <v>-2.7111326415510089</v>
      </c>
      <c r="J432" s="6">
        <f>VLOOKUP($D432,Sheet1!$A$5:$C$192,3,TRUE)</f>
        <v>2</v>
      </c>
      <c r="K432" s="42" t="str">
        <f>VLOOKUP($D432,Sheet1!$A$5:$C$192,2,TRUE)</f>
        <v>)|(</v>
      </c>
      <c r="L432" s="6">
        <f>FLOOR(VLOOKUP($D432,Sheet1!$D$5:$F$192,3,TRUE),1)</f>
        <v>5</v>
      </c>
      <c r="M432" s="42" t="str">
        <f>VLOOKUP($D432,Sheet1!$D$5:$F$192,2,TRUE)</f>
        <v>)~|</v>
      </c>
      <c r="N432" s="23">
        <f>FLOOR(VLOOKUP($D432,Sheet1!$G$5:$I$192,3,TRUE),1)</f>
        <v>6</v>
      </c>
      <c r="O432" s="42" t="str">
        <f>VLOOKUP($D432,Sheet1!$G$5:$I$192,2,TRUE)</f>
        <v>')|(</v>
      </c>
      <c r="P432" s="23">
        <v>1</v>
      </c>
      <c r="Q432" s="43" t="str">
        <f>VLOOKUP($D432,Sheet1!$J$5:$L$192,2,TRUE)</f>
        <v>')|(</v>
      </c>
      <c r="R432" s="23">
        <f>FLOOR(VLOOKUP($D432,Sheet1!$M$5:$O$192,3,TRUE),1)</f>
        <v>24</v>
      </c>
      <c r="S432" s="42" t="str">
        <f>VLOOKUP($D432,Sheet1!$M$5:$O$192,2,TRUE)</f>
        <v>')|(</v>
      </c>
      <c r="T432" s="117">
        <f>IF(ABS(D432-VLOOKUP($D432,Sheet1!$M$5:$T$192,8,TRUE))&lt;10^-10,"SoCA",D432-VLOOKUP($D432,Sheet1!$M$5:$T$192,8,TRUE))</f>
        <v>-9.2378764672410796E-2</v>
      </c>
      <c r="U432" s="109" t="str">
        <f>IF(VLOOKUP($D432,Sheet1!$M$5:$U$192,9,TRUE)=0,"",IF(ABS(D432-VLOOKUP($D432,Sheet1!$M$5:$U$192,9,TRUE))&lt;10^-10,"Alt.",D432-VLOOKUP($D432,Sheet1!$M$5:$U$192,9,TRUE)))</f>
        <v/>
      </c>
      <c r="V432" s="132">
        <f>$D432-Sheet1!$M$3*$R432</f>
        <v>-0.16074087634481771</v>
      </c>
      <c r="Z432" s="6"/>
      <c r="AA432" s="61"/>
    </row>
    <row r="433" spans="1:27" ht="13.5">
      <c r="A433" t="s">
        <v>1004</v>
      </c>
      <c r="B433">
        <v>1017</v>
      </c>
      <c r="C433">
        <v>1024</v>
      </c>
      <c r="D433" s="13">
        <f t="shared" si="10"/>
        <v>11.875243371000018</v>
      </c>
      <c r="E433" s="61" t="s">
        <v>1931</v>
      </c>
      <c r="F433" s="65">
        <v>135.73945053767827</v>
      </c>
      <c r="G433" s="6">
        <v>916</v>
      </c>
      <c r="H433" s="6">
        <v>852</v>
      </c>
      <c r="I433" s="65">
        <v>-2.7312019982195457</v>
      </c>
      <c r="J433" s="6">
        <f>VLOOKUP($D433,Sheet1!$A$5:$C$192,3,TRUE)</f>
        <v>2</v>
      </c>
      <c r="K433" s="42" t="str">
        <f>VLOOKUP($D433,Sheet1!$A$5:$C$192,2,TRUE)</f>
        <v>)|(</v>
      </c>
      <c r="L433" s="6">
        <f>FLOOR(VLOOKUP($D433,Sheet1!$D$5:$F$192,3,TRUE),1)</f>
        <v>5</v>
      </c>
      <c r="M433" s="42" t="str">
        <f>VLOOKUP($D433,Sheet1!$D$5:$F$192,2,TRUE)</f>
        <v>)~|</v>
      </c>
      <c r="N433" s="23">
        <f>FLOOR(VLOOKUP($D433,Sheet1!$G$5:$I$192,3,TRUE),1)</f>
        <v>6</v>
      </c>
      <c r="O433" s="42" t="str">
        <f>VLOOKUP($D433,Sheet1!$G$5:$I$192,2,TRUE)</f>
        <v>')|(</v>
      </c>
      <c r="P433" s="23">
        <v>1</v>
      </c>
      <c r="Q433" s="43" t="str">
        <f>VLOOKUP($D433,Sheet1!$J$5:$L$192,2,TRUE)</f>
        <v>')|(</v>
      </c>
      <c r="R433" s="23">
        <f>FLOOR(VLOOKUP($D433,Sheet1!$M$5:$O$192,3,TRUE),1)</f>
        <v>24</v>
      </c>
      <c r="S433" s="42" t="str">
        <f>VLOOKUP($D433,Sheet1!$M$5:$O$192,2,TRUE)</f>
        <v>)~|.</v>
      </c>
      <c r="T433" s="117">
        <f>IF(ABS(D433-VLOOKUP($D433,Sheet1!$M$5:$T$192,8,TRUE))&lt;10^-10,"SoCA",D433-VLOOKUP($D433,Sheet1!$M$5:$T$192,8,TRUE))</f>
        <v>0.2335619402471405</v>
      </c>
      <c r="U433" s="109">
        <f>IF(VLOOKUP($D433,Sheet1!$M$5:$U$192,9,TRUE)=0,"",IF(ABS(D433-VLOOKUP($D433,Sheet1!$M$5:$U$192,9,TRUE))&lt;10^-10,"Alt.",D433-VLOOKUP($D433,Sheet1!$M$5:$U$192,9,TRUE)))</f>
        <v>0.20660164504470657</v>
      </c>
      <c r="V433" s="132">
        <f>$D433-Sheet1!$M$3*$R433</f>
        <v>0.1651998285747549</v>
      </c>
      <c r="Z433" s="6"/>
      <c r="AA433" s="61"/>
    </row>
    <row r="434" spans="1:27" ht="13.5">
      <c r="A434" s="6" t="s">
        <v>1812</v>
      </c>
      <c r="B434">
        <v>5727753</v>
      </c>
      <c r="C434">
        <v>5767168</v>
      </c>
      <c r="D434" s="13">
        <f t="shared" si="10"/>
        <v>11.872523086329142</v>
      </c>
      <c r="E434" s="61" t="s">
        <v>1931</v>
      </c>
      <c r="F434" s="65">
        <v>143.36233474864673</v>
      </c>
      <c r="G434" s="59">
        <v>1132</v>
      </c>
      <c r="H434" s="63">
        <v>1000017</v>
      </c>
      <c r="I434" s="65">
        <v>-10.731034500381824</v>
      </c>
      <c r="J434" s="6">
        <f>VLOOKUP($D434,Sheet1!$A$5:$C$192,3,TRUE)</f>
        <v>2</v>
      </c>
      <c r="K434" s="42" t="str">
        <f>VLOOKUP($D434,Sheet1!$A$5:$C$192,2,TRUE)</f>
        <v>)|(</v>
      </c>
      <c r="L434" s="6">
        <f>FLOOR(VLOOKUP($D434,Sheet1!$D$5:$F$192,3,TRUE),1)</f>
        <v>5</v>
      </c>
      <c r="M434" s="42" t="str">
        <f>VLOOKUP($D434,Sheet1!$D$5:$F$192,2,TRUE)</f>
        <v>)~|</v>
      </c>
      <c r="N434" s="23">
        <f>FLOOR(VLOOKUP($D434,Sheet1!$G$5:$I$192,3,TRUE),1)</f>
        <v>6</v>
      </c>
      <c r="O434" s="42" t="str">
        <f>VLOOKUP($D434,Sheet1!$G$5:$I$192,2,TRUE)</f>
        <v>')|(</v>
      </c>
      <c r="P434" s="23">
        <v>1</v>
      </c>
      <c r="Q434" s="43" t="str">
        <f>VLOOKUP($D434,Sheet1!$J$5:$L$192,2,TRUE)</f>
        <v>')|(</v>
      </c>
      <c r="R434" s="23">
        <f>FLOOR(VLOOKUP($D434,Sheet1!$M$5:$O$192,3,TRUE),1)</f>
        <v>24</v>
      </c>
      <c r="S434" s="42" t="str">
        <f>VLOOKUP($D434,Sheet1!$M$5:$O$192,2,TRUE)</f>
        <v>)~|.</v>
      </c>
      <c r="T434" s="117">
        <f>IF(ABS(D434-VLOOKUP($D434,Sheet1!$M$5:$T$192,8,TRUE))&lt;10^-10,"SoCA",D434-VLOOKUP($D434,Sheet1!$M$5:$T$192,8,TRUE))</f>
        <v>0.23084165557626513</v>
      </c>
      <c r="U434" s="109">
        <f>IF(VLOOKUP($D434,Sheet1!$M$5:$U$192,9,TRUE)=0,"",IF(ABS(D434-VLOOKUP($D434,Sheet1!$M$5:$U$192,9,TRUE))&lt;10^-10,"Alt.",D434-VLOOKUP($D434,Sheet1!$M$5:$U$192,9,TRUE)))</f>
        <v>0.2038813603738312</v>
      </c>
      <c r="V434" s="132">
        <f>$D434-Sheet1!$M$3*$R434</f>
        <v>0.16247954390387953</v>
      </c>
      <c r="Z434" s="6"/>
      <c r="AA434" s="61"/>
    </row>
    <row r="435" spans="1:27" ht="13.5">
      <c r="A435" t="s">
        <v>1755</v>
      </c>
      <c r="B435">
        <v>12845056</v>
      </c>
      <c r="C435">
        <v>12931731</v>
      </c>
      <c r="D435" s="13">
        <f t="shared" si="10"/>
        <v>11.642667237032454</v>
      </c>
      <c r="E435" s="61" t="s">
        <v>1931</v>
      </c>
      <c r="F435" s="65">
        <v>145.24007167377204</v>
      </c>
      <c r="G435" s="6">
        <v>1652</v>
      </c>
      <c r="H435" s="6">
        <v>1604</v>
      </c>
      <c r="I435" s="65">
        <v>10.283118561669825</v>
      </c>
      <c r="J435" s="6">
        <f>VLOOKUP($D435,Sheet1!$A$5:$C$192,3,TRUE)</f>
        <v>2</v>
      </c>
      <c r="K435" s="42" t="str">
        <f>VLOOKUP($D435,Sheet1!$A$5:$C$192,2,TRUE)</f>
        <v>)|(</v>
      </c>
      <c r="L435" s="6">
        <f>FLOOR(VLOOKUP($D435,Sheet1!$D$5:$F$192,3,TRUE),1)</f>
        <v>5</v>
      </c>
      <c r="M435" s="42" t="str">
        <f>VLOOKUP($D435,Sheet1!$D$5:$F$192,2,TRUE)</f>
        <v>)~|</v>
      </c>
      <c r="N435" s="23">
        <f>FLOOR(VLOOKUP($D435,Sheet1!$G$5:$I$192,3,TRUE),1)</f>
        <v>6</v>
      </c>
      <c r="O435" s="42" t="str">
        <f>VLOOKUP($D435,Sheet1!$G$5:$I$192,2,TRUE)</f>
        <v>')|(</v>
      </c>
      <c r="P435" s="23">
        <v>1</v>
      </c>
      <c r="Q435" s="43" t="str">
        <f>VLOOKUP($D435,Sheet1!$J$5:$L$192,2,TRUE)</f>
        <v>')|(</v>
      </c>
      <c r="R435" s="23">
        <f>FLOOR(VLOOKUP($D435,Sheet1!$M$5:$O$192,3,TRUE),1)</f>
        <v>24</v>
      </c>
      <c r="S435" s="42" t="str">
        <f>VLOOKUP($D435,Sheet1!$M$5:$O$192,2,TRUE)</f>
        <v>')|(</v>
      </c>
      <c r="T435" s="117">
        <f>IF(ABS(D435-VLOOKUP($D435,Sheet1!$M$5:$T$192,8,TRUE))&lt;10^-10,"SoCA",D435-VLOOKUP($D435,Sheet1!$M$5:$T$192,8,TRUE))</f>
        <v>9.8580627959776734E-4</v>
      </c>
      <c r="U435" s="109" t="str">
        <f>IF(VLOOKUP($D435,Sheet1!$M$5:$U$192,9,TRUE)=0,"",IF(ABS(D435-VLOOKUP($D435,Sheet1!$M$5:$U$192,9,TRUE))&lt;10^-10,"Alt.",D435-VLOOKUP($D435,Sheet1!$M$5:$U$192,9,TRUE)))</f>
        <v/>
      </c>
      <c r="V435" s="132">
        <f>$D435-Sheet1!$M$3*$R435</f>
        <v>-6.7376305392809144E-2</v>
      </c>
      <c r="Z435" s="6"/>
      <c r="AA435" s="61"/>
    </row>
    <row r="436" spans="1:27" ht="13.5">
      <c r="A436" s="6" t="s">
        <v>1845</v>
      </c>
      <c r="B436">
        <v>10805967</v>
      </c>
      <c r="C436">
        <v>10878976</v>
      </c>
      <c r="D436" s="13">
        <f t="shared" si="10"/>
        <v>11.657503021584629</v>
      </c>
      <c r="E436" s="61" t="s">
        <v>1931</v>
      </c>
      <c r="F436" s="65">
        <v>218.55720721946193</v>
      </c>
      <c r="G436" s="59">
        <v>1658</v>
      </c>
      <c r="H436" s="63">
        <v>1000050</v>
      </c>
      <c r="I436" s="65">
        <v>-11.717794931634758</v>
      </c>
      <c r="J436" s="6">
        <f>VLOOKUP($D436,Sheet1!$A$5:$C$192,3,TRUE)</f>
        <v>2</v>
      </c>
      <c r="K436" s="42" t="str">
        <f>VLOOKUP($D436,Sheet1!$A$5:$C$192,2,TRUE)</f>
        <v>)|(</v>
      </c>
      <c r="L436" s="6">
        <f>FLOOR(VLOOKUP($D436,Sheet1!$D$5:$F$192,3,TRUE),1)</f>
        <v>5</v>
      </c>
      <c r="M436" s="42" t="str">
        <f>VLOOKUP($D436,Sheet1!$D$5:$F$192,2,TRUE)</f>
        <v>)~|</v>
      </c>
      <c r="N436" s="23">
        <f>FLOOR(VLOOKUP($D436,Sheet1!$G$5:$I$192,3,TRUE),1)</f>
        <v>6</v>
      </c>
      <c r="O436" s="42" t="str">
        <f>VLOOKUP($D436,Sheet1!$G$5:$I$192,2,TRUE)</f>
        <v>')|(</v>
      </c>
      <c r="P436" s="23">
        <v>1</v>
      </c>
      <c r="Q436" s="43" t="str">
        <f>VLOOKUP($D436,Sheet1!$J$5:$L$192,2,TRUE)</f>
        <v>')|(</v>
      </c>
      <c r="R436" s="23">
        <f>FLOOR(VLOOKUP($D436,Sheet1!$M$5:$O$192,3,TRUE),1)</f>
        <v>24</v>
      </c>
      <c r="S436" s="42" t="str">
        <f>VLOOKUP($D436,Sheet1!$M$5:$O$192,2,TRUE)</f>
        <v>')|(</v>
      </c>
      <c r="T436" s="117">
        <f>IF(ABS(D436-VLOOKUP($D436,Sheet1!$M$5:$T$192,8,TRUE))&lt;10^-10,"SoCA",D436-VLOOKUP($D436,Sheet1!$M$5:$T$192,8,TRUE))</f>
        <v>1.5821590831773591E-2</v>
      </c>
      <c r="U436" s="109" t="str">
        <f>IF(VLOOKUP($D436,Sheet1!$M$5:$U$192,9,TRUE)=0,"",IF(ABS(D436-VLOOKUP($D436,Sheet1!$M$5:$U$192,9,TRUE))&lt;10^-10,"Alt.",D436-VLOOKUP($D436,Sheet1!$M$5:$U$192,9,TRUE)))</f>
        <v/>
      </c>
      <c r="V436" s="132">
        <f>$D436-Sheet1!$M$3*$R436</f>
        <v>-5.254052084063332E-2</v>
      </c>
      <c r="Z436" s="6"/>
      <c r="AA436" s="61"/>
    </row>
    <row r="437" spans="1:27" ht="13.5">
      <c r="A437" t="s">
        <v>634</v>
      </c>
      <c r="B437">
        <v>3352</v>
      </c>
      <c r="C437">
        <v>3375</v>
      </c>
      <c r="D437" s="13">
        <f t="shared" si="10"/>
        <v>11.838423751444676</v>
      </c>
      <c r="E437" s="61" t="s">
        <v>1931</v>
      </c>
      <c r="F437" s="65">
        <v>607.81532689275241</v>
      </c>
      <c r="G437" s="6">
        <v>529</v>
      </c>
      <c r="H437" s="6">
        <v>479</v>
      </c>
      <c r="I437" s="65">
        <v>2.2710651198976537</v>
      </c>
      <c r="J437" s="6">
        <f>VLOOKUP($D437,Sheet1!$A$5:$C$192,3,TRUE)</f>
        <v>2</v>
      </c>
      <c r="K437" s="42" t="str">
        <f>VLOOKUP($D437,Sheet1!$A$5:$C$192,2,TRUE)</f>
        <v>)|(</v>
      </c>
      <c r="L437" s="6">
        <f>FLOOR(VLOOKUP($D437,Sheet1!$D$5:$F$192,3,TRUE),1)</f>
        <v>5</v>
      </c>
      <c r="M437" s="42" t="str">
        <f>VLOOKUP($D437,Sheet1!$D$5:$F$192,2,TRUE)</f>
        <v>)~|</v>
      </c>
      <c r="N437" s="23">
        <f>FLOOR(VLOOKUP($D437,Sheet1!$G$5:$I$192,3,TRUE),1)</f>
        <v>6</v>
      </c>
      <c r="O437" s="42" t="str">
        <f>VLOOKUP($D437,Sheet1!$G$5:$I$192,2,TRUE)</f>
        <v>')|(</v>
      </c>
      <c r="P437" s="23">
        <v>1</v>
      </c>
      <c r="Q437" s="43" t="str">
        <f>VLOOKUP($D437,Sheet1!$J$5:$L$192,2,TRUE)</f>
        <v>')|(</v>
      </c>
      <c r="R437" s="23">
        <f>FLOOR(VLOOKUP($D437,Sheet1!$M$5:$O$192,3,TRUE),1)</f>
        <v>24</v>
      </c>
      <c r="S437" s="42" t="str">
        <f>VLOOKUP($D437,Sheet1!$M$5:$O$192,2,TRUE)</f>
        <v>)~|.</v>
      </c>
      <c r="T437" s="117">
        <f>IF(ABS(D437-VLOOKUP($D437,Sheet1!$M$5:$T$192,8,TRUE))&lt;10^-10,"SoCA",D437-VLOOKUP($D437,Sheet1!$M$5:$T$192,8,TRUE))</f>
        <v>0.19674232069179887</v>
      </c>
      <c r="U437" s="109">
        <f>IF(VLOOKUP($D437,Sheet1!$M$5:$U$192,9,TRUE)=0,"",IF(ABS(D437-VLOOKUP($D437,Sheet1!$M$5:$U$192,9,TRUE))&lt;10^-10,"Alt.",D437-VLOOKUP($D437,Sheet1!$M$5:$U$192,9,TRUE)))</f>
        <v>0.16978202548936494</v>
      </c>
      <c r="V437" s="132">
        <f>$D437-Sheet1!$M$3*$R437</f>
        <v>0.12838020901941327</v>
      </c>
      <c r="Z437" s="6"/>
      <c r="AA437" s="61"/>
    </row>
    <row r="438" spans="1:27" ht="13.5">
      <c r="A438" t="s">
        <v>1319</v>
      </c>
      <c r="B438">
        <v>8192000</v>
      </c>
      <c r="C438">
        <v>8247177</v>
      </c>
      <c r="D438" s="13">
        <f t="shared" si="10"/>
        <v>11.621586633204156</v>
      </c>
      <c r="E438" s="61" t="s">
        <v>1931</v>
      </c>
      <c r="F438" s="65">
        <v>621.42913633344187</v>
      </c>
      <c r="G438" s="6">
        <v>1091</v>
      </c>
      <c r="H438" s="6">
        <v>1168</v>
      </c>
      <c r="I438" s="65">
        <v>8.2844165712483537</v>
      </c>
      <c r="J438" s="6">
        <f>VLOOKUP($D438,Sheet1!$A$5:$C$192,3,TRUE)</f>
        <v>2</v>
      </c>
      <c r="K438" s="42" t="str">
        <f>VLOOKUP($D438,Sheet1!$A$5:$C$192,2,TRUE)</f>
        <v>)|(</v>
      </c>
      <c r="L438" s="6">
        <f>FLOOR(VLOOKUP($D438,Sheet1!$D$5:$F$192,3,TRUE),1)</f>
        <v>5</v>
      </c>
      <c r="M438" s="42" t="str">
        <f>VLOOKUP($D438,Sheet1!$D$5:$F$192,2,TRUE)</f>
        <v>)~|</v>
      </c>
      <c r="N438" s="23">
        <f>FLOOR(VLOOKUP($D438,Sheet1!$G$5:$I$192,3,TRUE),1)</f>
        <v>6</v>
      </c>
      <c r="O438" s="42" t="str">
        <f>VLOOKUP($D438,Sheet1!$G$5:$I$192,2,TRUE)</f>
        <v>')|(</v>
      </c>
      <c r="P438" s="23">
        <v>1</v>
      </c>
      <c r="Q438" s="43" t="str">
        <f>VLOOKUP($D438,Sheet1!$J$5:$L$192,2,TRUE)</f>
        <v>')|(</v>
      </c>
      <c r="R438" s="23">
        <f>FLOOR(VLOOKUP($D438,Sheet1!$M$5:$O$192,3,TRUE),1)</f>
        <v>24</v>
      </c>
      <c r="S438" s="42" t="str">
        <f>VLOOKUP($D438,Sheet1!$M$5:$O$192,2,TRUE)</f>
        <v>')|(</v>
      </c>
      <c r="T438" s="117">
        <f>IF(ABS(D438-VLOOKUP($D438,Sheet1!$M$5:$T$192,8,TRUE))&lt;10^-10,"SoCA",D438-VLOOKUP($D438,Sheet1!$M$5:$T$192,8,TRUE))</f>
        <v>-2.0094797548699361E-2</v>
      </c>
      <c r="U438" s="109" t="str">
        <f>IF(VLOOKUP($D438,Sheet1!$M$5:$U$192,9,TRUE)=0,"",IF(ABS(D438-VLOOKUP($D438,Sheet1!$M$5:$U$192,9,TRUE))&lt;10^-10,"Alt.",D438-VLOOKUP($D438,Sheet1!$M$5:$U$192,9,TRUE)))</f>
        <v/>
      </c>
      <c r="V438" s="132">
        <f>$D438-Sheet1!$M$3*$R438</f>
        <v>-8.8456909221106272E-2</v>
      </c>
      <c r="Z438" s="6"/>
      <c r="AA438" s="61"/>
    </row>
    <row r="439" spans="1:27" ht="13.5">
      <c r="A439" t="s">
        <v>1054</v>
      </c>
      <c r="B439">
        <v>50288</v>
      </c>
      <c r="C439">
        <v>50625</v>
      </c>
      <c r="D439" s="13">
        <f t="shared" si="10"/>
        <v>11.562990762387695</v>
      </c>
      <c r="E439" s="61" t="s">
        <v>1931</v>
      </c>
      <c r="F439" s="65">
        <v>666.83911583606891</v>
      </c>
      <c r="G439" s="6">
        <v>968</v>
      </c>
      <c r="H439" s="6">
        <v>902</v>
      </c>
      <c r="I439" s="65">
        <v>3.2880245324909039</v>
      </c>
      <c r="J439" s="6">
        <f>VLOOKUP($D439,Sheet1!$A$5:$C$192,3,TRUE)</f>
        <v>2</v>
      </c>
      <c r="K439" s="42" t="str">
        <f>VLOOKUP($D439,Sheet1!$A$5:$C$192,2,TRUE)</f>
        <v>)|(</v>
      </c>
      <c r="L439" s="6">
        <f>FLOOR(VLOOKUP($D439,Sheet1!$D$5:$F$192,3,TRUE),1)</f>
        <v>5</v>
      </c>
      <c r="M439" s="42" t="str">
        <f>VLOOKUP($D439,Sheet1!$D$5:$F$192,2,TRUE)</f>
        <v>)~|</v>
      </c>
      <c r="N439" s="23">
        <f>FLOOR(VLOOKUP($D439,Sheet1!$G$5:$I$192,3,TRUE),1)</f>
        <v>6</v>
      </c>
      <c r="O439" s="42" t="str">
        <f>VLOOKUP($D439,Sheet1!$G$5:$I$192,2,TRUE)</f>
        <v>')|(</v>
      </c>
      <c r="P439" s="23">
        <v>1</v>
      </c>
      <c r="Q439" s="43" t="str">
        <f>VLOOKUP($D439,Sheet1!$J$5:$L$192,2,TRUE)</f>
        <v>')|(</v>
      </c>
      <c r="R439" s="23">
        <f>FLOOR(VLOOKUP($D439,Sheet1!$M$5:$O$192,3,TRUE),1)</f>
        <v>24</v>
      </c>
      <c r="S439" s="42" t="str">
        <f>VLOOKUP($D439,Sheet1!$M$5:$O$192,2,TRUE)</f>
        <v>')|(</v>
      </c>
      <c r="T439" s="117">
        <f>IF(ABS(D439-VLOOKUP($D439,Sheet1!$M$5:$T$192,8,TRUE))&lt;10^-10,"SoCA",D439-VLOOKUP($D439,Sheet1!$M$5:$T$192,8,TRUE))</f>
        <v>-7.8690668365160477E-2</v>
      </c>
      <c r="U439" s="109" t="str">
        <f>IF(VLOOKUP($D439,Sheet1!$M$5:$U$192,9,TRUE)=0,"",IF(ABS(D439-VLOOKUP($D439,Sheet1!$M$5:$U$192,9,TRUE))&lt;10^-10,"Alt.",D439-VLOOKUP($D439,Sheet1!$M$5:$U$192,9,TRUE)))</f>
        <v/>
      </c>
      <c r="V439" s="132">
        <f>$D439-Sheet1!$M$3*$R439</f>
        <v>-0.14705278003756739</v>
      </c>
      <c r="Z439" s="6"/>
      <c r="AA439" s="61"/>
    </row>
    <row r="440" spans="1:27" ht="13.5">
      <c r="A440" t="s">
        <v>1443</v>
      </c>
      <c r="B440">
        <v>20480000</v>
      </c>
      <c r="C440">
        <v>20621223</v>
      </c>
      <c r="D440" s="13">
        <f t="shared" si="10"/>
        <v>11.897019622261329</v>
      </c>
      <c r="E440" s="61" t="s">
        <v>1931</v>
      </c>
      <c r="F440" s="65">
        <v>673.38815444256784</v>
      </c>
      <c r="G440" s="6">
        <v>1358</v>
      </c>
      <c r="H440" s="6">
        <v>1292</v>
      </c>
      <c r="I440" s="65">
        <v>7.2674571586550929</v>
      </c>
      <c r="J440" s="6">
        <f>VLOOKUP($D440,Sheet1!$A$5:$C$192,3,TRUE)</f>
        <v>2</v>
      </c>
      <c r="K440" s="42" t="str">
        <f>VLOOKUP($D440,Sheet1!$A$5:$C$192,2,TRUE)</f>
        <v>)|(</v>
      </c>
      <c r="L440" s="6">
        <f>FLOOR(VLOOKUP($D440,Sheet1!$D$5:$F$192,3,TRUE),1)</f>
        <v>5</v>
      </c>
      <c r="M440" s="42" t="str">
        <f>VLOOKUP($D440,Sheet1!$D$5:$F$192,2,TRUE)</f>
        <v>)~|</v>
      </c>
      <c r="N440" s="23">
        <f>FLOOR(VLOOKUP($D440,Sheet1!$G$5:$I$192,3,TRUE),1)</f>
        <v>6</v>
      </c>
      <c r="O440" s="42" t="str">
        <f>VLOOKUP($D440,Sheet1!$G$5:$I$192,2,TRUE)</f>
        <v>')|(</v>
      </c>
      <c r="P440" s="23">
        <v>1</v>
      </c>
      <c r="Q440" s="43" t="str">
        <f>VLOOKUP($D440,Sheet1!$J$5:$L$192,2,TRUE)</f>
        <v>')|(</v>
      </c>
      <c r="R440" s="23">
        <f>FLOOR(VLOOKUP($D440,Sheet1!$M$5:$O$192,3,TRUE),1)</f>
        <v>24</v>
      </c>
      <c r="S440" s="42" t="str">
        <f>VLOOKUP($D440,Sheet1!$M$5:$O$192,2,TRUE)</f>
        <v>)~|.</v>
      </c>
      <c r="T440" s="117">
        <f>IF(ABS(D440-VLOOKUP($D440,Sheet1!$M$5:$T$192,8,TRUE))&lt;10^-10,"SoCA",D440-VLOOKUP($D440,Sheet1!$M$5:$T$192,8,TRUE))</f>
        <v>0.25533819150845183</v>
      </c>
      <c r="U440" s="109">
        <f>IF(VLOOKUP($D440,Sheet1!$M$5:$U$192,9,TRUE)=0,"",IF(ABS(D440-VLOOKUP($D440,Sheet1!$M$5:$U$192,9,TRUE))&lt;10^-10,"Alt.",D440-VLOOKUP($D440,Sheet1!$M$5:$U$192,9,TRUE)))</f>
        <v>0.2283778963060179</v>
      </c>
      <c r="V440" s="132">
        <f>$D440-Sheet1!$M$3*$R440</f>
        <v>0.18697607983606623</v>
      </c>
      <c r="Z440" s="6"/>
      <c r="AA440" s="61"/>
    </row>
    <row r="441" spans="1:27" ht="13.5">
      <c r="A441" t="s">
        <v>1153</v>
      </c>
      <c r="B441">
        <v>150848</v>
      </c>
      <c r="C441">
        <v>151875</v>
      </c>
      <c r="D441" s="13">
        <f t="shared" si="10"/>
        <v>11.746607886075271</v>
      </c>
      <c r="E441" s="61" t="s">
        <v>1931</v>
      </c>
      <c r="F441" s="65">
        <v>3804.3034005552145</v>
      </c>
      <c r="G441" s="6">
        <v>1055</v>
      </c>
      <c r="H441" s="6">
        <v>1002</v>
      </c>
      <c r="I441" s="65">
        <v>4.2767185572318578</v>
      </c>
      <c r="J441" s="6">
        <f>VLOOKUP($D441,Sheet1!$A$5:$C$192,3,TRUE)</f>
        <v>2</v>
      </c>
      <c r="K441" s="42" t="str">
        <f>VLOOKUP($D441,Sheet1!$A$5:$C$192,2,TRUE)</f>
        <v>)|(</v>
      </c>
      <c r="L441" s="6">
        <f>FLOOR(VLOOKUP($D441,Sheet1!$D$5:$F$192,3,TRUE),1)</f>
        <v>5</v>
      </c>
      <c r="M441" s="42" t="str">
        <f>VLOOKUP($D441,Sheet1!$D$5:$F$192,2,TRUE)</f>
        <v>)~|</v>
      </c>
      <c r="N441" s="23">
        <f>FLOOR(VLOOKUP($D441,Sheet1!$G$5:$I$192,3,TRUE),1)</f>
        <v>6</v>
      </c>
      <c r="O441" s="42" t="str">
        <f>VLOOKUP($D441,Sheet1!$G$5:$I$192,2,TRUE)</f>
        <v>')|(</v>
      </c>
      <c r="P441" s="23">
        <v>1</v>
      </c>
      <c r="Q441" s="43" t="str">
        <f>VLOOKUP($D441,Sheet1!$J$5:$L$192,2,TRUE)</f>
        <v>')|(</v>
      </c>
      <c r="R441" s="23">
        <f>FLOOR(VLOOKUP($D441,Sheet1!$M$5:$O$192,3,TRUE),1)</f>
        <v>24</v>
      </c>
      <c r="S441" s="42" t="str">
        <f>VLOOKUP($D441,Sheet1!$M$5:$O$192,2,TRUE)</f>
        <v>)~|.</v>
      </c>
      <c r="T441" s="117">
        <f>IF(ABS(D441-VLOOKUP($D441,Sheet1!$M$5:$T$192,8,TRUE))&lt;10^-10,"SoCA",D441-VLOOKUP($D441,Sheet1!$M$5:$T$192,8,TRUE))</f>
        <v>0.10492645532239386</v>
      </c>
      <c r="U441" s="109">
        <f>IF(VLOOKUP($D441,Sheet1!$M$5:$U$192,9,TRUE)=0,"",IF(ABS(D441-VLOOKUP($D441,Sheet1!$M$5:$U$192,9,TRUE))&lt;10^-10,"Alt.",D441-VLOOKUP($D441,Sheet1!$M$5:$U$192,9,TRUE)))</f>
        <v>7.7966160119959937E-2</v>
      </c>
      <c r="V441" s="132">
        <f>$D441-Sheet1!$M$3*$R441</f>
        <v>3.6564343650008269E-2</v>
      </c>
      <c r="Z441" s="6"/>
      <c r="AA441" s="61"/>
    </row>
    <row r="442" spans="1:27" ht="13.5">
      <c r="A442" t="s">
        <v>1352</v>
      </c>
      <c r="B442">
        <v>5120000</v>
      </c>
      <c r="C442">
        <v>5154759</v>
      </c>
      <c r="D442" s="13">
        <f t="shared" si="10"/>
        <v>11.713402498573696</v>
      </c>
      <c r="E442" s="61" t="s">
        <v>1931</v>
      </c>
      <c r="F442" s="65">
        <v>3807.615963411768</v>
      </c>
      <c r="G442" s="6">
        <v>1266</v>
      </c>
      <c r="H442" s="6">
        <v>1201</v>
      </c>
      <c r="I442" s="65">
        <v>6.2787631339141425</v>
      </c>
      <c r="J442" s="6">
        <f>VLOOKUP($D442,Sheet1!$A$5:$C$192,3,TRUE)</f>
        <v>2</v>
      </c>
      <c r="K442" s="42" t="str">
        <f>VLOOKUP($D442,Sheet1!$A$5:$C$192,2,TRUE)</f>
        <v>)|(</v>
      </c>
      <c r="L442" s="6">
        <f>FLOOR(VLOOKUP($D442,Sheet1!$D$5:$F$192,3,TRUE),1)</f>
        <v>5</v>
      </c>
      <c r="M442" s="42" t="str">
        <f>VLOOKUP($D442,Sheet1!$D$5:$F$192,2,TRUE)</f>
        <v>)~|</v>
      </c>
      <c r="N442" s="23">
        <f>FLOOR(VLOOKUP($D442,Sheet1!$G$5:$I$192,3,TRUE),1)</f>
        <v>6</v>
      </c>
      <c r="O442" s="42" t="str">
        <f>VLOOKUP($D442,Sheet1!$G$5:$I$192,2,TRUE)</f>
        <v>')|(</v>
      </c>
      <c r="P442" s="23">
        <v>1</v>
      </c>
      <c r="Q442" s="43" t="str">
        <f>VLOOKUP($D442,Sheet1!$J$5:$L$192,2,TRUE)</f>
        <v>')|(</v>
      </c>
      <c r="R442" s="23">
        <f>FLOOR(VLOOKUP($D442,Sheet1!$M$5:$O$192,3,TRUE),1)</f>
        <v>24</v>
      </c>
      <c r="S442" s="42" t="str">
        <f>VLOOKUP($D442,Sheet1!$M$5:$O$192,2,TRUE)</f>
        <v>')|(</v>
      </c>
      <c r="T442" s="117">
        <f>IF(ABS(D442-VLOOKUP($D442,Sheet1!$M$5:$T$192,8,TRUE))&lt;10^-10,"SoCA",D442-VLOOKUP($D442,Sheet1!$M$5:$T$192,8,TRUE))</f>
        <v>7.1721067820840645E-2</v>
      </c>
      <c r="U442" s="109" t="str">
        <f>IF(VLOOKUP($D442,Sheet1!$M$5:$U$192,9,TRUE)=0,"",IF(ABS(D442-VLOOKUP($D442,Sheet1!$M$5:$U$192,9,TRUE))&lt;10^-10,"Alt.",D442-VLOOKUP($D442,Sheet1!$M$5:$U$192,9,TRUE)))</f>
        <v/>
      </c>
      <c r="V442" s="132">
        <f>$D442-Sheet1!$M$3*$R442</f>
        <v>3.3589561484337338E-3</v>
      </c>
      <c r="Z442" s="6"/>
      <c r="AA442" s="61"/>
    </row>
    <row r="443" spans="1:27" ht="13.5">
      <c r="A443" t="s">
        <v>1489</v>
      </c>
      <c r="B443">
        <v>13097943</v>
      </c>
      <c r="C443">
        <v>13187072</v>
      </c>
      <c r="D443" s="13">
        <f t="shared" si="10"/>
        <v>11.740815134020549</v>
      </c>
      <c r="E443" s="61" t="s">
        <v>1931</v>
      </c>
      <c r="F443" s="65">
        <v>7415.7792738723392</v>
      </c>
      <c r="G443" s="6">
        <v>1399</v>
      </c>
      <c r="H443" s="6">
        <v>1338</v>
      </c>
      <c r="I443" s="65">
        <v>-7.7229247619199883</v>
      </c>
      <c r="J443" s="6">
        <f>VLOOKUP($D443,Sheet1!$A$5:$C$192,3,TRUE)</f>
        <v>2</v>
      </c>
      <c r="K443" s="42" t="str">
        <f>VLOOKUP($D443,Sheet1!$A$5:$C$192,2,TRUE)</f>
        <v>)|(</v>
      </c>
      <c r="L443" s="6">
        <f>FLOOR(VLOOKUP($D443,Sheet1!$D$5:$F$192,3,TRUE),1)</f>
        <v>5</v>
      </c>
      <c r="M443" s="42" t="str">
        <f>VLOOKUP($D443,Sheet1!$D$5:$F$192,2,TRUE)</f>
        <v>)~|</v>
      </c>
      <c r="N443" s="23">
        <f>FLOOR(VLOOKUP($D443,Sheet1!$G$5:$I$192,3,TRUE),1)</f>
        <v>6</v>
      </c>
      <c r="O443" s="42" t="str">
        <f>VLOOKUP($D443,Sheet1!$G$5:$I$192,2,TRUE)</f>
        <v>')|(</v>
      </c>
      <c r="P443" s="23">
        <v>1</v>
      </c>
      <c r="Q443" s="43" t="str">
        <f>VLOOKUP($D443,Sheet1!$J$5:$L$192,2,TRUE)</f>
        <v>')|(</v>
      </c>
      <c r="R443" s="23">
        <f>FLOOR(VLOOKUP($D443,Sheet1!$M$5:$O$192,3,TRUE),1)</f>
        <v>24</v>
      </c>
      <c r="S443" s="42" t="str">
        <f>VLOOKUP($D443,Sheet1!$M$5:$O$192,2,TRUE)</f>
        <v>)~|.</v>
      </c>
      <c r="T443" s="117">
        <f>IF(ABS(D443-VLOOKUP($D443,Sheet1!$M$5:$T$192,8,TRUE))&lt;10^-10,"SoCA",D443-VLOOKUP($D443,Sheet1!$M$5:$T$192,8,TRUE))</f>
        <v>9.9133703267671791E-2</v>
      </c>
      <c r="U443" s="109">
        <f>IF(VLOOKUP($D443,Sheet1!$M$5:$U$192,9,TRUE)=0,"",IF(ABS(D443-VLOOKUP($D443,Sheet1!$M$5:$U$192,9,TRUE))&lt;10^-10,"Alt.",D443-VLOOKUP($D443,Sheet1!$M$5:$U$192,9,TRUE)))</f>
        <v>7.2173408065237865E-2</v>
      </c>
      <c r="V443" s="132">
        <f>$D443-Sheet1!$M$3*$R443</f>
        <v>3.0771591595286196E-2</v>
      </c>
      <c r="Z443" s="6"/>
      <c r="AA443" s="61"/>
    </row>
    <row r="444" spans="1:27" ht="13.5">
      <c r="A444" t="s">
        <v>1252</v>
      </c>
      <c r="B444">
        <v>5234176</v>
      </c>
      <c r="C444">
        <v>5269941</v>
      </c>
      <c r="D444" s="13">
        <f t="shared" si="10"/>
        <v>11.789248927361619</v>
      </c>
      <c r="E444" s="61" t="s">
        <v>1931</v>
      </c>
      <c r="F444" s="65">
        <v>17454.770587995103</v>
      </c>
      <c r="G444" s="6">
        <v>1158</v>
      </c>
      <c r="H444" s="6">
        <v>1101</v>
      </c>
      <c r="I444" s="65">
        <v>5.2740929929700862</v>
      </c>
      <c r="J444" s="6">
        <f>VLOOKUP($D444,Sheet1!$A$5:$C$192,3,TRUE)</f>
        <v>2</v>
      </c>
      <c r="K444" s="42" t="str">
        <f>VLOOKUP($D444,Sheet1!$A$5:$C$192,2,TRUE)</f>
        <v>)|(</v>
      </c>
      <c r="L444" s="6">
        <f>FLOOR(VLOOKUP($D444,Sheet1!$D$5:$F$192,3,TRUE),1)</f>
        <v>5</v>
      </c>
      <c r="M444" s="42" t="str">
        <f>VLOOKUP($D444,Sheet1!$D$5:$F$192,2,TRUE)</f>
        <v>)~|</v>
      </c>
      <c r="N444" s="23">
        <f>FLOOR(VLOOKUP($D444,Sheet1!$G$5:$I$192,3,TRUE),1)</f>
        <v>6</v>
      </c>
      <c r="O444" s="42" t="str">
        <f>VLOOKUP($D444,Sheet1!$G$5:$I$192,2,TRUE)</f>
        <v>')|(</v>
      </c>
      <c r="P444" s="23">
        <v>1</v>
      </c>
      <c r="Q444" s="43" t="str">
        <f>VLOOKUP($D444,Sheet1!$J$5:$L$192,2,TRUE)</f>
        <v>')|(</v>
      </c>
      <c r="R444" s="23">
        <f>FLOOR(VLOOKUP($D444,Sheet1!$M$5:$O$192,3,TRUE),1)</f>
        <v>24</v>
      </c>
      <c r="S444" s="42" t="str">
        <f>VLOOKUP($D444,Sheet1!$M$5:$O$192,2,TRUE)</f>
        <v>)~|.</v>
      </c>
      <c r="T444" s="117">
        <f>IF(ABS(D444-VLOOKUP($D444,Sheet1!$M$5:$T$192,8,TRUE))&lt;10^-10,"SoCA",D444-VLOOKUP($D444,Sheet1!$M$5:$T$192,8,TRUE))</f>
        <v>0.14756749660874213</v>
      </c>
      <c r="U444" s="109">
        <f>IF(VLOOKUP($D444,Sheet1!$M$5:$U$192,9,TRUE)=0,"",IF(ABS(D444-VLOOKUP($D444,Sheet1!$M$5:$U$192,9,TRUE))&lt;10^-10,"Alt.",D444-VLOOKUP($D444,Sheet1!$M$5:$U$192,9,TRUE)))</f>
        <v>0.12060720140630821</v>
      </c>
      <c r="V444" s="132">
        <f>$D444-Sheet1!$M$3*$R444</f>
        <v>7.9205384936356538E-2</v>
      </c>
      <c r="Z444" s="6"/>
      <c r="AA444" s="61"/>
    </row>
    <row r="445" spans="1:27" ht="13.5">
      <c r="A445" t="s">
        <v>1253</v>
      </c>
      <c r="B445">
        <v>7402496</v>
      </c>
      <c r="C445">
        <v>7452567</v>
      </c>
      <c r="D445" s="13">
        <f t="shared" si="10"/>
        <v>11.670761457287446</v>
      </c>
      <c r="E445" s="61" t="s">
        <v>1931</v>
      </c>
      <c r="F445" s="65">
        <v>17454.775880632511</v>
      </c>
      <c r="G445" s="6">
        <v>1159</v>
      </c>
      <c r="H445" s="6">
        <v>1102</v>
      </c>
      <c r="I445" s="65">
        <v>5.2813886981759079</v>
      </c>
      <c r="J445" s="6">
        <f>VLOOKUP($D445,Sheet1!$A$5:$C$192,3,TRUE)</f>
        <v>2</v>
      </c>
      <c r="K445" s="42" t="str">
        <f>VLOOKUP($D445,Sheet1!$A$5:$C$192,2,TRUE)</f>
        <v>)|(</v>
      </c>
      <c r="L445" s="6">
        <f>FLOOR(VLOOKUP($D445,Sheet1!$D$5:$F$192,3,TRUE),1)</f>
        <v>5</v>
      </c>
      <c r="M445" s="42" t="str">
        <f>VLOOKUP($D445,Sheet1!$D$5:$F$192,2,TRUE)</f>
        <v>)~|</v>
      </c>
      <c r="N445" s="23">
        <f>FLOOR(VLOOKUP($D445,Sheet1!$G$5:$I$192,3,TRUE),1)</f>
        <v>6</v>
      </c>
      <c r="O445" s="42" t="str">
        <f>VLOOKUP($D445,Sheet1!$G$5:$I$192,2,TRUE)</f>
        <v>')|(</v>
      </c>
      <c r="P445" s="23">
        <v>1</v>
      </c>
      <c r="Q445" s="43" t="str">
        <f>VLOOKUP($D445,Sheet1!$J$5:$L$192,2,TRUE)</f>
        <v>')|(</v>
      </c>
      <c r="R445" s="23">
        <f>FLOOR(VLOOKUP($D445,Sheet1!$M$5:$O$192,3,TRUE),1)</f>
        <v>24</v>
      </c>
      <c r="S445" s="42" t="str">
        <f>VLOOKUP($D445,Sheet1!$M$5:$O$192,2,TRUE)</f>
        <v>')|(</v>
      </c>
      <c r="T445" s="117">
        <f>IF(ABS(D445-VLOOKUP($D445,Sheet1!$M$5:$T$192,8,TRUE))&lt;10^-10,"SoCA",D445-VLOOKUP($D445,Sheet1!$M$5:$T$192,8,TRUE))</f>
        <v>2.9080026534590075E-2</v>
      </c>
      <c r="U445" s="109" t="str">
        <f>IF(VLOOKUP($D445,Sheet1!$M$5:$U$192,9,TRUE)=0,"",IF(ABS(D445-VLOOKUP($D445,Sheet1!$M$5:$U$192,9,TRUE))&lt;10^-10,"Alt.",D445-VLOOKUP($D445,Sheet1!$M$5:$U$192,9,TRUE)))</f>
        <v/>
      </c>
      <c r="V445" s="132">
        <f>$D445-Sheet1!$M$3*$R445</f>
        <v>-3.9282085137816836E-2</v>
      </c>
      <c r="Z445" s="6"/>
      <c r="AA445" s="61"/>
    </row>
    <row r="446" spans="1:27" ht="13.5">
      <c r="A446" t="s">
        <v>1051</v>
      </c>
      <c r="B446">
        <v>534226432</v>
      </c>
      <c r="C446">
        <v>537910227</v>
      </c>
      <c r="D446" s="13">
        <f t="shared" si="10"/>
        <v>11.896872245443291</v>
      </c>
      <c r="E446" s="61" t="s">
        <v>1931</v>
      </c>
      <c r="F446" s="65">
        <v>7684279.122389135</v>
      </c>
      <c r="G446" s="6">
        <v>966</v>
      </c>
      <c r="H446" s="6">
        <v>899</v>
      </c>
      <c r="I446" s="65">
        <v>3.2674662331827022</v>
      </c>
      <c r="J446" s="6">
        <f>VLOOKUP($D446,Sheet1!$A$5:$C$192,3,TRUE)</f>
        <v>2</v>
      </c>
      <c r="K446" s="42" t="str">
        <f>VLOOKUP($D446,Sheet1!$A$5:$C$192,2,TRUE)</f>
        <v>)|(</v>
      </c>
      <c r="L446" s="6">
        <f>FLOOR(VLOOKUP($D446,Sheet1!$D$5:$F$192,3,TRUE),1)</f>
        <v>5</v>
      </c>
      <c r="M446" s="42" t="str">
        <f>VLOOKUP($D446,Sheet1!$D$5:$F$192,2,TRUE)</f>
        <v>)~|</v>
      </c>
      <c r="N446" s="23">
        <f>FLOOR(VLOOKUP($D446,Sheet1!$G$5:$I$192,3,TRUE),1)</f>
        <v>6</v>
      </c>
      <c r="O446" s="42" t="str">
        <f>VLOOKUP($D446,Sheet1!$G$5:$I$192,2,TRUE)</f>
        <v>')|(</v>
      </c>
      <c r="P446" s="23">
        <v>1</v>
      </c>
      <c r="Q446" s="43" t="str">
        <f>VLOOKUP($D446,Sheet1!$J$5:$L$192,2,TRUE)</f>
        <v>')|(</v>
      </c>
      <c r="R446" s="23">
        <f>FLOOR(VLOOKUP($D446,Sheet1!$M$5:$O$192,3,TRUE),1)</f>
        <v>24</v>
      </c>
      <c r="S446" s="42" t="str">
        <f>VLOOKUP($D446,Sheet1!$M$5:$O$192,2,TRUE)</f>
        <v>)~|.</v>
      </c>
      <c r="T446" s="117">
        <f>IF(ABS(D446-VLOOKUP($D446,Sheet1!$M$5:$T$192,8,TRUE))&lt;10^-10,"SoCA",D446-VLOOKUP($D446,Sheet1!$M$5:$T$192,8,TRUE))</f>
        <v>0.2551908146904136</v>
      </c>
      <c r="U446" s="109">
        <f>IF(VLOOKUP($D446,Sheet1!$M$5:$U$192,9,TRUE)=0,"",IF(ABS(D446-VLOOKUP($D446,Sheet1!$M$5:$U$192,9,TRUE))&lt;10^-10,"Alt.",D446-VLOOKUP($D446,Sheet1!$M$5:$U$192,9,TRUE)))</f>
        <v>0.22823051948797968</v>
      </c>
      <c r="V446" s="132">
        <f>$D446-Sheet1!$M$3*$R446</f>
        <v>0.18682870301802801</v>
      </c>
      <c r="Z446" s="6"/>
      <c r="AA446" s="61"/>
    </row>
    <row r="447" spans="1:27" ht="13.5">
      <c r="A447" t="s">
        <v>1445</v>
      </c>
      <c r="B447">
        <v>6800247808</v>
      </c>
      <c r="C447">
        <v>6845819571</v>
      </c>
      <c r="D447" s="13">
        <f t="shared" si="10"/>
        <v>11.563138139205739</v>
      </c>
      <c r="E447" s="61" t="s">
        <v>1931</v>
      </c>
      <c r="F447" s="65">
        <v>7684296.0550195361</v>
      </c>
      <c r="G447" s="6">
        <v>1360</v>
      </c>
      <c r="H447" s="6">
        <v>1294</v>
      </c>
      <c r="I447" s="65">
        <v>7.2880154579632936</v>
      </c>
      <c r="J447" s="6">
        <f>VLOOKUP($D447,Sheet1!$A$5:$C$192,3,TRUE)</f>
        <v>2</v>
      </c>
      <c r="K447" s="42" t="str">
        <f>VLOOKUP($D447,Sheet1!$A$5:$C$192,2,TRUE)</f>
        <v>)|(</v>
      </c>
      <c r="L447" s="6">
        <f>FLOOR(VLOOKUP($D447,Sheet1!$D$5:$F$192,3,TRUE),1)</f>
        <v>5</v>
      </c>
      <c r="M447" s="42" t="str">
        <f>VLOOKUP($D447,Sheet1!$D$5:$F$192,2,TRUE)</f>
        <v>)~|</v>
      </c>
      <c r="N447" s="23">
        <f>FLOOR(VLOOKUP($D447,Sheet1!$G$5:$I$192,3,TRUE),1)</f>
        <v>6</v>
      </c>
      <c r="O447" s="42" t="str">
        <f>VLOOKUP($D447,Sheet1!$G$5:$I$192,2,TRUE)</f>
        <v>')|(</v>
      </c>
      <c r="P447" s="23">
        <v>1</v>
      </c>
      <c r="Q447" s="43" t="str">
        <f>VLOOKUP($D447,Sheet1!$J$5:$L$192,2,TRUE)</f>
        <v>')|(</v>
      </c>
      <c r="R447" s="23">
        <f>FLOOR(VLOOKUP($D447,Sheet1!$M$5:$O$192,3,TRUE),1)</f>
        <v>24</v>
      </c>
      <c r="S447" s="42" t="str">
        <f>VLOOKUP($D447,Sheet1!$M$5:$O$192,2,TRUE)</f>
        <v>')|(</v>
      </c>
      <c r="T447" s="117">
        <f>IF(ABS(D447-VLOOKUP($D447,Sheet1!$M$5:$T$192,8,TRUE))&lt;10^-10,"SoCA",D447-VLOOKUP($D447,Sheet1!$M$5:$T$192,8,TRUE))</f>
        <v>-7.8543291547116922E-2</v>
      </c>
      <c r="U447" s="109" t="str">
        <f>IF(VLOOKUP($D447,Sheet1!$M$5:$U$192,9,TRUE)=0,"",IF(ABS(D447-VLOOKUP($D447,Sheet1!$M$5:$U$192,9,TRUE))&lt;10^-10,"Alt.",D447-VLOOKUP($D447,Sheet1!$M$5:$U$192,9,TRUE)))</f>
        <v/>
      </c>
      <c r="V447" s="132">
        <f>$D447-Sheet1!$M$3*$R447</f>
        <v>-0.14690540321952383</v>
      </c>
      <c r="Z447" s="6"/>
      <c r="AA447" s="61"/>
    </row>
    <row r="448" spans="1:27" ht="13.5">
      <c r="A448" s="33" t="s">
        <v>53</v>
      </c>
      <c r="B448" s="33">
        <f>11*13</f>
        <v>143</v>
      </c>
      <c r="C448" s="33">
        <f>2^4*3^2</f>
        <v>144</v>
      </c>
      <c r="D448" s="13">
        <f t="shared" si="10"/>
        <v>12.064397596707702</v>
      </c>
      <c r="E448" s="61">
        <v>13</v>
      </c>
      <c r="F448" s="65">
        <v>33.657507655114827</v>
      </c>
      <c r="G448" s="6">
        <v>90</v>
      </c>
      <c r="H448" s="6">
        <v>82</v>
      </c>
      <c r="I448" s="65">
        <v>1.2571510869772689</v>
      </c>
      <c r="J448" s="6">
        <f>VLOOKUP($D448,Sheet1!$A$5:$C$192,3,TRUE)</f>
        <v>2</v>
      </c>
      <c r="K448" s="42" t="str">
        <f>VLOOKUP($D448,Sheet1!$A$5:$C$192,2,TRUE)</f>
        <v>)|(</v>
      </c>
      <c r="L448" s="34">
        <f>FLOOR(VLOOKUP($D448,Sheet1!$D$5:$F$192,3,TRUE),1)</f>
        <v>5</v>
      </c>
      <c r="M448" s="41" t="str">
        <f>VLOOKUP($D448,Sheet1!$D$5:$F$192,2,TRUE)</f>
        <v>)~|</v>
      </c>
      <c r="N448" s="34">
        <f>FLOOR(VLOOKUP($D448,Sheet1!$G$5:$I$192,3,TRUE),1)</f>
        <v>6</v>
      </c>
      <c r="O448" s="41" t="str">
        <f>VLOOKUP($D448,Sheet1!$G$5:$I$192,2,TRUE)</f>
        <v>)~|</v>
      </c>
      <c r="P448" s="34">
        <v>1</v>
      </c>
      <c r="Q448" s="41" t="str">
        <f>VLOOKUP($D448,Sheet1!$J$5:$L$192,2,TRUE)</f>
        <v>)~|</v>
      </c>
      <c r="R448" s="34">
        <f>FLOOR(VLOOKUP($D448,Sheet1!$M$5:$O$192,3,TRUE),1)</f>
        <v>25</v>
      </c>
      <c r="S448" s="41" t="str">
        <f>VLOOKUP($D448,Sheet1!$M$5:$O$192,2,TRUE)</f>
        <v>)~|</v>
      </c>
      <c r="T448" s="114" t="str">
        <f>IF(ABS(D448-VLOOKUP($D448,Sheet1!$M$5:$T$192,8,TRUE))&lt;10^-10,"SoCA",D448-VLOOKUP($D448,Sheet1!$M$5:$T$192,8,TRUE))</f>
        <v>SoCA</v>
      </c>
      <c r="U448" s="126" t="str">
        <f>IF(VLOOKUP($D448,Sheet1!$M$5:$U$192,9,TRUE)=0,"",IF(ABS(D448-VLOOKUP($D448,Sheet1!$M$5:$U$192,9,TRUE))&lt;10^-10,"Alt.",D448-VLOOKUP($D448,Sheet1!$M$5:$U$192,9,TRUE)))</f>
        <v/>
      </c>
      <c r="V448" s="137">
        <f>$D448-Sheet1!$M$3*$R448</f>
        <v>-0.13356442665194734</v>
      </c>
      <c r="Z448" s="6"/>
      <c r="AA448" s="61"/>
    </row>
    <row r="449" spans="1:27" ht="13.5">
      <c r="A449" s="6" t="s">
        <v>575</v>
      </c>
      <c r="B449" s="6">
        <f>3^5*17</f>
        <v>4131</v>
      </c>
      <c r="C449" s="6">
        <f>2^6*5*13</f>
        <v>4160</v>
      </c>
      <c r="D449" s="13">
        <f t="shared" si="10"/>
        <v>12.110961806800876</v>
      </c>
      <c r="E449" s="61">
        <v>17</v>
      </c>
      <c r="F449" s="65">
        <v>42.85433771010122</v>
      </c>
      <c r="G449" s="6">
        <v>425</v>
      </c>
      <c r="H449" s="6">
        <v>420</v>
      </c>
      <c r="I449" s="65">
        <v>-5.7457160410808212</v>
      </c>
      <c r="J449" s="6">
        <f>VLOOKUP($D449,Sheet1!$A$5:$C$192,3,TRUE)</f>
        <v>2</v>
      </c>
      <c r="K449" s="42" t="str">
        <f>VLOOKUP($D449,Sheet1!$A$5:$C$192,2,TRUE)</f>
        <v>)|(</v>
      </c>
      <c r="L449" s="6">
        <f>FLOOR(VLOOKUP($D449,Sheet1!$D$5:$F$192,3,TRUE),1)</f>
        <v>5</v>
      </c>
      <c r="M449" s="42" t="str">
        <f>VLOOKUP($D449,Sheet1!$D$5:$F$192,2,TRUE)</f>
        <v>)~|</v>
      </c>
      <c r="N449" s="23">
        <f>FLOOR(VLOOKUP($D449,Sheet1!$G$5:$I$192,3,TRUE),1)</f>
        <v>6</v>
      </c>
      <c r="O449" s="42" t="str">
        <f>VLOOKUP($D449,Sheet1!$G$5:$I$192,2,TRUE)</f>
        <v>)~|</v>
      </c>
      <c r="P449" s="23">
        <v>1</v>
      </c>
      <c r="Q449" s="43" t="str">
        <f>VLOOKUP($D449,Sheet1!$J$5:$L$192,2,TRUE)</f>
        <v>)~|</v>
      </c>
      <c r="R449" s="23">
        <f>FLOOR(VLOOKUP($D449,Sheet1!$M$5:$O$192,3,TRUE),1)</f>
        <v>25</v>
      </c>
      <c r="S449" s="42" t="str">
        <f>VLOOKUP($D449,Sheet1!$M$5:$O$192,2,TRUE)</f>
        <v>)~|</v>
      </c>
      <c r="T449" s="117">
        <f>IF(ABS(D449-VLOOKUP($D449,Sheet1!$M$5:$T$192,8,TRUE))&lt;10^-10,"SoCA",D449-VLOOKUP($D449,Sheet1!$M$5:$T$192,8,TRUE))</f>
        <v>4.6564210093174907E-2</v>
      </c>
      <c r="U449" s="109" t="str">
        <f>IF(VLOOKUP($D449,Sheet1!$M$5:$U$192,9,TRUE)=0,"",IF(ABS(D449-VLOOKUP($D449,Sheet1!$M$5:$U$192,9,TRUE))&lt;10^-10,"Alt.",D449-VLOOKUP($D449,Sheet1!$M$5:$U$192,9,TRUE)))</f>
        <v/>
      </c>
      <c r="V449" s="132">
        <f>$D449-Sheet1!$M$3*$R449</f>
        <v>-8.7000216558772436E-2</v>
      </c>
      <c r="Z449" s="6"/>
      <c r="AA449" s="61"/>
    </row>
    <row r="450" spans="1:27" ht="13.5">
      <c r="A450" s="6" t="s">
        <v>1453</v>
      </c>
      <c r="B450" s="6">
        <f>3^9*5^2</f>
        <v>492075</v>
      </c>
      <c r="C450" s="6">
        <f>2^12*11^2</f>
        <v>495616</v>
      </c>
      <c r="D450" s="13">
        <f t="shared" si="10"/>
        <v>12.41344921135696</v>
      </c>
      <c r="E450" s="61">
        <v>11</v>
      </c>
      <c r="F450" s="65">
        <v>45.457962187048345</v>
      </c>
      <c r="G450" s="6">
        <v>990</v>
      </c>
      <c r="H450" s="6">
        <v>1302</v>
      </c>
      <c r="I450" s="65">
        <v>-9.7643412926009532</v>
      </c>
      <c r="J450" s="6">
        <f>VLOOKUP($D450,Sheet1!$A$5:$C$192,3,TRUE)</f>
        <v>2</v>
      </c>
      <c r="K450" s="42" t="str">
        <f>VLOOKUP($D450,Sheet1!$A$5:$C$192,2,TRUE)</f>
        <v>)|(</v>
      </c>
      <c r="L450" s="6">
        <f>FLOOR(VLOOKUP($D450,Sheet1!$D$5:$F$192,3,TRUE),1)</f>
        <v>5</v>
      </c>
      <c r="M450" s="42" t="str">
        <f>VLOOKUP($D450,Sheet1!$D$5:$F$192,2,TRUE)</f>
        <v>)~|</v>
      </c>
      <c r="N450" s="23">
        <f>FLOOR(VLOOKUP($D450,Sheet1!$G$5:$I$192,3,TRUE),1)</f>
        <v>6</v>
      </c>
      <c r="O450" s="42" t="str">
        <f>VLOOKUP($D450,Sheet1!$G$5:$I$192,2,TRUE)</f>
        <v>)~|</v>
      </c>
      <c r="P450" s="23">
        <v>1</v>
      </c>
      <c r="Q450" s="43" t="str">
        <f>VLOOKUP($D450,Sheet1!$J$5:$L$192,2,TRUE)</f>
        <v>)~|</v>
      </c>
      <c r="R450" s="23">
        <f>FLOOR(VLOOKUP($D450,Sheet1!$M$5:$O$192,3,TRUE),1)</f>
        <v>25</v>
      </c>
      <c r="S450" s="42" t="str">
        <f>VLOOKUP($D450,Sheet1!$M$5:$O$192,2,TRUE)</f>
        <v>)~|</v>
      </c>
      <c r="T450" s="117">
        <f>IF(ABS(D450-VLOOKUP($D450,Sheet1!$M$5:$T$192,8,TRUE))&lt;10^-10,"SoCA",D450-VLOOKUP($D450,Sheet1!$M$5:$T$192,8,TRUE))</f>
        <v>0.34905161464925882</v>
      </c>
      <c r="U450" s="109" t="str">
        <f>IF(VLOOKUP($D450,Sheet1!$M$5:$U$192,9,TRUE)=0,"",IF(ABS(D450-VLOOKUP($D450,Sheet1!$M$5:$U$192,9,TRUE))&lt;10^-10,"Alt.",D450-VLOOKUP($D450,Sheet1!$M$5:$U$192,9,TRUE)))</f>
        <v/>
      </c>
      <c r="V450" s="132">
        <f>$D450-Sheet1!$M$3*$R450</f>
        <v>0.21548718799731148</v>
      </c>
      <c r="Z450" s="6"/>
      <c r="AA450" s="61"/>
    </row>
    <row r="451" spans="1:27" ht="13.5">
      <c r="A451" s="23" t="s">
        <v>1948</v>
      </c>
      <c r="B451" s="101">
        <f>2^12</f>
        <v>4096</v>
      </c>
      <c r="C451" s="101">
        <f>3*5^3*11</f>
        <v>4125</v>
      </c>
      <c r="D451" s="13">
        <f t="shared" si="10"/>
        <v>12.214084824648578</v>
      </c>
      <c r="E451" s="22">
        <v>11</v>
      </c>
      <c r="F451" s="65">
        <v>46.829337806455364</v>
      </c>
      <c r="G451" s="18">
        <v>2000000</v>
      </c>
      <c r="H451" s="18">
        <v>2000000</v>
      </c>
      <c r="I451" s="92">
        <v>1.0929803287822674E-2</v>
      </c>
      <c r="J451" s="6">
        <f>VLOOKUP($D451,Sheet1!$A$5:$C$192,3,TRUE)</f>
        <v>2</v>
      </c>
      <c r="K451" s="42" t="str">
        <f>VLOOKUP($D451,Sheet1!$A$5:$C$192,2,TRUE)</f>
        <v>)|(</v>
      </c>
      <c r="L451" s="6">
        <f>FLOOR(VLOOKUP($D451,Sheet1!$D$5:$F$192,3,TRUE),1)</f>
        <v>5</v>
      </c>
      <c r="M451" s="42" t="str">
        <f>VLOOKUP($D451,Sheet1!$D$5:$F$192,2,TRUE)</f>
        <v>)~|</v>
      </c>
      <c r="N451" s="23">
        <f>FLOOR(VLOOKUP($D451,Sheet1!$G$5:$I$192,3,TRUE),1)</f>
        <v>6</v>
      </c>
      <c r="O451" s="42" t="str">
        <f>VLOOKUP($D451,Sheet1!$G$5:$I$192,2,TRUE)</f>
        <v>)~|</v>
      </c>
      <c r="P451" s="23">
        <v>1</v>
      </c>
      <c r="Q451" s="43" t="str">
        <f>VLOOKUP($D451,Sheet1!$J$5:$L$192,2,TRUE)</f>
        <v>)~|</v>
      </c>
      <c r="R451" s="23">
        <f>FLOOR(VLOOKUP($D451,Sheet1!$M$5:$O$192,3,TRUE),1)</f>
        <v>25</v>
      </c>
      <c r="S451" s="43" t="str">
        <f>VLOOKUP($D451,Sheet1!$M$5:$O$192,2,TRUE)</f>
        <v>)~|</v>
      </c>
      <c r="T451" s="117">
        <f>IF(ABS(D451-VLOOKUP($D451,Sheet1!$M$5:$T$192,8,TRUE))&lt;10^-10,"SoCA",D451-VLOOKUP($D451,Sheet1!$M$5:$T$192,8,TRUE))</f>
        <v>0.14968722794087697</v>
      </c>
      <c r="U451" s="117" t="str">
        <f>IF(VLOOKUP($D451,Sheet1!$M$5:$U$192,9,TRUE)=0,"",IF(ABS(D451-VLOOKUP($D451,Sheet1!$M$5:$U$192,9,TRUE))&lt;10^-10,"Alt.",D451-VLOOKUP($D451,Sheet1!$M$5:$U$192,9,TRUE)))</f>
        <v/>
      </c>
      <c r="V451" s="132">
        <f>$D451-Sheet1!$M$3*$R451</f>
        <v>1.6122801288929622E-2</v>
      </c>
      <c r="Z451" s="6"/>
      <c r="AA451" s="61"/>
    </row>
    <row r="452" spans="1:27" ht="13.5">
      <c r="A452" s="6" t="s">
        <v>480</v>
      </c>
      <c r="B452" s="6">
        <f>2^16*17</f>
        <v>1114112</v>
      </c>
      <c r="C452" s="6">
        <f>3^10*19</f>
        <v>1121931</v>
      </c>
      <c r="D452" s="13">
        <f t="shared" ref="D452:D515" si="11">1200*LN($C452/$B452)/LN(2)</f>
        <v>12.107615285769459</v>
      </c>
      <c r="E452" s="61">
        <v>19</v>
      </c>
      <c r="F452" s="65">
        <v>52.425383004725155</v>
      </c>
      <c r="G452" s="6">
        <v>242</v>
      </c>
      <c r="H452" s="6">
        <v>319</v>
      </c>
      <c r="I452" s="65">
        <v>9.2544900164111237</v>
      </c>
      <c r="J452" s="6">
        <f>VLOOKUP($D452,Sheet1!$A$5:$C$192,3,TRUE)</f>
        <v>2</v>
      </c>
      <c r="K452" s="42" t="str">
        <f>VLOOKUP($D452,Sheet1!$A$5:$C$192,2,TRUE)</f>
        <v>)|(</v>
      </c>
      <c r="L452" s="6">
        <f>FLOOR(VLOOKUP($D452,Sheet1!$D$5:$F$192,3,TRUE),1)</f>
        <v>5</v>
      </c>
      <c r="M452" s="42" t="str">
        <f>VLOOKUP($D452,Sheet1!$D$5:$F$192,2,TRUE)</f>
        <v>)~|</v>
      </c>
      <c r="N452" s="23">
        <f>FLOOR(VLOOKUP($D452,Sheet1!$G$5:$I$192,3,TRUE),1)</f>
        <v>6</v>
      </c>
      <c r="O452" s="42" t="str">
        <f>VLOOKUP($D452,Sheet1!$G$5:$I$192,2,TRUE)</f>
        <v>)~|</v>
      </c>
      <c r="P452" s="23">
        <v>1</v>
      </c>
      <c r="Q452" s="43" t="str">
        <f>VLOOKUP($D452,Sheet1!$J$5:$L$192,2,TRUE)</f>
        <v>)~|</v>
      </c>
      <c r="R452" s="23">
        <f>FLOOR(VLOOKUP($D452,Sheet1!$M$5:$O$192,3,TRUE),1)</f>
        <v>25</v>
      </c>
      <c r="S452" s="42" t="str">
        <f>VLOOKUP($D452,Sheet1!$M$5:$O$192,2,TRUE)</f>
        <v>)~|</v>
      </c>
      <c r="T452" s="117">
        <f>IF(ABS(D452-VLOOKUP($D452,Sheet1!$M$5:$T$192,8,TRUE))&lt;10^-10,"SoCA",D452-VLOOKUP($D452,Sheet1!$M$5:$T$192,8,TRUE))</f>
        <v>4.321768906175727E-2</v>
      </c>
      <c r="U452" s="109" t="str">
        <f>IF(VLOOKUP($D452,Sheet1!$M$5:$U$192,9,TRUE)=0,"",IF(ABS(D452-VLOOKUP($D452,Sheet1!$M$5:$U$192,9,TRUE))&lt;10^-10,"Alt.",D452-VLOOKUP($D452,Sheet1!$M$5:$U$192,9,TRUE)))</f>
        <v/>
      </c>
      <c r="V452" s="132">
        <f>$D452-Sheet1!$M$3*$R452</f>
        <v>-9.0346737590190074E-2</v>
      </c>
      <c r="Z452" s="6"/>
      <c r="AA452" s="61"/>
    </row>
    <row r="453" spans="1:27" ht="13.5">
      <c r="A453" t="s">
        <v>722</v>
      </c>
      <c r="B453">
        <v>7371</v>
      </c>
      <c r="C453">
        <v>7424</v>
      </c>
      <c r="D453" s="13">
        <f t="shared" si="11"/>
        <v>12.403622453101523</v>
      </c>
      <c r="E453" s="61">
        <v>29</v>
      </c>
      <c r="F453" s="65">
        <v>59.268794194327022</v>
      </c>
      <c r="G453" s="6">
        <v>610</v>
      </c>
      <c r="H453" s="6">
        <v>567</v>
      </c>
      <c r="I453" s="65">
        <v>-4.7637362232943365</v>
      </c>
      <c r="J453" s="6">
        <f>VLOOKUP($D453,Sheet1!$A$5:$C$192,3,TRUE)</f>
        <v>2</v>
      </c>
      <c r="K453" s="42" t="str">
        <f>VLOOKUP($D453,Sheet1!$A$5:$C$192,2,TRUE)</f>
        <v>)|(</v>
      </c>
      <c r="L453" s="6">
        <f>FLOOR(VLOOKUP($D453,Sheet1!$D$5:$F$192,3,TRUE),1)</f>
        <v>5</v>
      </c>
      <c r="M453" s="42" t="str">
        <f>VLOOKUP($D453,Sheet1!$D$5:$F$192,2,TRUE)</f>
        <v>)~|</v>
      </c>
      <c r="N453" s="23">
        <f>FLOOR(VLOOKUP($D453,Sheet1!$G$5:$I$192,3,TRUE),1)</f>
        <v>6</v>
      </c>
      <c r="O453" s="42" t="str">
        <f>VLOOKUP($D453,Sheet1!$G$5:$I$192,2,TRUE)</f>
        <v>)~|</v>
      </c>
      <c r="P453" s="23">
        <v>1</v>
      </c>
      <c r="Q453" s="43" t="str">
        <f>VLOOKUP($D453,Sheet1!$J$5:$L$192,2,TRUE)</f>
        <v>)~|</v>
      </c>
      <c r="R453" s="23">
        <f>FLOOR(VLOOKUP($D453,Sheet1!$M$5:$O$192,3,TRUE),1)</f>
        <v>25</v>
      </c>
      <c r="S453" s="42" t="str">
        <f>VLOOKUP($D453,Sheet1!$M$5:$O$192,2,TRUE)</f>
        <v>)~|</v>
      </c>
      <c r="T453" s="117">
        <f>IF(ABS(D453-VLOOKUP($D453,Sheet1!$M$5:$T$192,8,TRUE))&lt;10^-10,"SoCA",D453-VLOOKUP($D453,Sheet1!$M$5:$T$192,8,TRUE))</f>
        <v>0.33922485639382138</v>
      </c>
      <c r="U453" s="109" t="str">
        <f>IF(VLOOKUP($D453,Sheet1!$M$5:$U$192,9,TRUE)=0,"",IF(ABS(D453-VLOOKUP($D453,Sheet1!$M$5:$U$192,9,TRUE))&lt;10^-10,"Alt.",D453-VLOOKUP($D453,Sheet1!$M$5:$U$192,9,TRUE)))</f>
        <v/>
      </c>
      <c r="V453" s="132">
        <f>$D453-Sheet1!$M$3*$R453</f>
        <v>0.20566042974187404</v>
      </c>
      <c r="Z453" s="6"/>
      <c r="AA453" s="61"/>
    </row>
    <row r="454" spans="1:27" ht="13.5">
      <c r="A454" t="s">
        <v>459</v>
      </c>
      <c r="B454">
        <v>992</v>
      </c>
      <c r="C454">
        <v>999</v>
      </c>
      <c r="D454" s="13">
        <f t="shared" si="11"/>
        <v>12.173468886651779</v>
      </c>
      <c r="E454" s="61">
        <v>37</v>
      </c>
      <c r="F454" s="65">
        <v>68.149717215383944</v>
      </c>
      <c r="G454" s="6">
        <v>335</v>
      </c>
      <c r="H454" s="6">
        <v>297</v>
      </c>
      <c r="I454" s="65">
        <v>2.2504351702870684</v>
      </c>
      <c r="J454" s="6">
        <f>VLOOKUP($D454,Sheet1!$A$5:$C$192,3,TRUE)</f>
        <v>2</v>
      </c>
      <c r="K454" s="42" t="str">
        <f>VLOOKUP($D454,Sheet1!$A$5:$C$192,2,TRUE)</f>
        <v>)|(</v>
      </c>
      <c r="L454" s="6">
        <f>FLOOR(VLOOKUP($D454,Sheet1!$D$5:$F$192,3,TRUE),1)</f>
        <v>5</v>
      </c>
      <c r="M454" s="42" t="str">
        <f>VLOOKUP($D454,Sheet1!$D$5:$F$192,2,TRUE)</f>
        <v>)~|</v>
      </c>
      <c r="N454" s="23">
        <f>FLOOR(VLOOKUP($D454,Sheet1!$G$5:$I$192,3,TRUE),1)</f>
        <v>6</v>
      </c>
      <c r="O454" s="42" t="str">
        <f>VLOOKUP($D454,Sheet1!$G$5:$I$192,2,TRUE)</f>
        <v>)~|</v>
      </c>
      <c r="P454" s="23">
        <v>1</v>
      </c>
      <c r="Q454" s="43" t="str">
        <f>VLOOKUP($D454,Sheet1!$J$5:$L$192,2,TRUE)</f>
        <v>)~|</v>
      </c>
      <c r="R454" s="23">
        <f>FLOOR(VLOOKUP($D454,Sheet1!$M$5:$O$192,3,TRUE),1)</f>
        <v>25</v>
      </c>
      <c r="S454" s="42" t="str">
        <f>VLOOKUP($D454,Sheet1!$M$5:$O$192,2,TRUE)</f>
        <v>)~|</v>
      </c>
      <c r="T454" s="117">
        <f>IF(ABS(D454-VLOOKUP($D454,Sheet1!$M$5:$T$192,8,TRUE))&lt;10^-10,"SoCA",D454-VLOOKUP($D454,Sheet1!$M$5:$T$192,8,TRUE))</f>
        <v>0.10907128994407778</v>
      </c>
      <c r="U454" s="109" t="str">
        <f>IF(VLOOKUP($D454,Sheet1!$M$5:$U$192,9,TRUE)=0,"",IF(ABS(D454-VLOOKUP($D454,Sheet1!$M$5:$U$192,9,TRUE))&lt;10^-10,"Alt.",D454-VLOOKUP($D454,Sheet1!$M$5:$U$192,9,TRUE)))</f>
        <v/>
      </c>
      <c r="V454" s="132">
        <f>$D454-Sheet1!$M$3*$R454</f>
        <v>-2.4493136707869567E-2</v>
      </c>
      <c r="Z454" s="6"/>
      <c r="AA454" s="61"/>
    </row>
    <row r="455" spans="1:27" ht="13.5">
      <c r="A455" t="s">
        <v>549</v>
      </c>
      <c r="B455">
        <v>140</v>
      </c>
      <c r="C455">
        <v>141</v>
      </c>
      <c r="D455" s="13">
        <f t="shared" si="11"/>
        <v>12.322002544592474</v>
      </c>
      <c r="E455" s="61">
        <v>47</v>
      </c>
      <c r="F455" s="65">
        <v>70.836131500954195</v>
      </c>
      <c r="G455" s="6">
        <v>440</v>
      </c>
      <c r="H455" s="6">
        <v>393</v>
      </c>
      <c r="I455" s="65">
        <v>0.24128941183008201</v>
      </c>
      <c r="J455" s="6">
        <f>VLOOKUP($D455,Sheet1!$A$5:$C$192,3,TRUE)</f>
        <v>2</v>
      </c>
      <c r="K455" s="42" t="str">
        <f>VLOOKUP($D455,Sheet1!$A$5:$C$192,2,TRUE)</f>
        <v>)|(</v>
      </c>
      <c r="L455" s="6">
        <f>FLOOR(VLOOKUP($D455,Sheet1!$D$5:$F$192,3,TRUE),1)</f>
        <v>5</v>
      </c>
      <c r="M455" s="42" t="str">
        <f>VLOOKUP($D455,Sheet1!$D$5:$F$192,2,TRUE)</f>
        <v>)~|</v>
      </c>
      <c r="N455" s="23">
        <f>FLOOR(VLOOKUP($D455,Sheet1!$G$5:$I$192,3,TRUE),1)</f>
        <v>6</v>
      </c>
      <c r="O455" s="42" t="str">
        <f>VLOOKUP($D455,Sheet1!$G$5:$I$192,2,TRUE)</f>
        <v>)~|</v>
      </c>
      <c r="P455" s="23">
        <v>1</v>
      </c>
      <c r="Q455" s="43" t="str">
        <f>VLOOKUP($D455,Sheet1!$J$5:$L$192,2,TRUE)</f>
        <v>)~|</v>
      </c>
      <c r="R455" s="23">
        <f>FLOOR(VLOOKUP($D455,Sheet1!$M$5:$O$192,3,TRUE),1)</f>
        <v>25</v>
      </c>
      <c r="S455" s="42" t="str">
        <f>VLOOKUP($D455,Sheet1!$M$5:$O$192,2,TRUE)</f>
        <v>)~|</v>
      </c>
      <c r="T455" s="117">
        <f>IF(ABS(D455-VLOOKUP($D455,Sheet1!$M$5:$T$192,8,TRUE))&lt;10^-10,"SoCA",D455-VLOOKUP($D455,Sheet1!$M$5:$T$192,8,TRUE))</f>
        <v>0.25760494788477217</v>
      </c>
      <c r="U455" s="109" t="str">
        <f>IF(VLOOKUP($D455,Sheet1!$M$5:$U$192,9,TRUE)=0,"",IF(ABS(D455-VLOOKUP($D455,Sheet1!$M$5:$U$192,9,TRUE))&lt;10^-10,"Alt.",D455-VLOOKUP($D455,Sheet1!$M$5:$U$192,9,TRUE)))</f>
        <v/>
      </c>
      <c r="V455" s="132">
        <f>$D455-Sheet1!$M$3*$R455</f>
        <v>0.12404052123282483</v>
      </c>
      <c r="Z455" s="6"/>
      <c r="AA455" s="61"/>
    </row>
    <row r="456" spans="1:27" ht="13.5">
      <c r="A456" t="s">
        <v>1247</v>
      </c>
      <c r="B456">
        <v>20992</v>
      </c>
      <c r="C456">
        <v>21141</v>
      </c>
      <c r="D456" s="13">
        <f t="shared" si="11"/>
        <v>12.244793803710591</v>
      </c>
      <c r="E456" s="61">
        <v>41</v>
      </c>
      <c r="F456" s="65">
        <v>71.204312917995111</v>
      </c>
      <c r="G456" s="6">
        <v>1154</v>
      </c>
      <c r="H456" s="6">
        <v>1096</v>
      </c>
      <c r="I456" s="65">
        <v>5.246043435292937</v>
      </c>
      <c r="J456" s="6">
        <f>VLOOKUP($D456,Sheet1!$A$5:$C$192,3,TRUE)</f>
        <v>2</v>
      </c>
      <c r="K456" s="42" t="str">
        <f>VLOOKUP($D456,Sheet1!$A$5:$C$192,2,TRUE)</f>
        <v>)|(</v>
      </c>
      <c r="L456" s="6">
        <f>FLOOR(VLOOKUP($D456,Sheet1!$D$5:$F$192,3,TRUE),1)</f>
        <v>5</v>
      </c>
      <c r="M456" s="42" t="str">
        <f>VLOOKUP($D456,Sheet1!$D$5:$F$192,2,TRUE)</f>
        <v>)~|</v>
      </c>
      <c r="N456" s="23">
        <f>FLOOR(VLOOKUP($D456,Sheet1!$G$5:$I$192,3,TRUE),1)</f>
        <v>6</v>
      </c>
      <c r="O456" s="42" t="str">
        <f>VLOOKUP($D456,Sheet1!$G$5:$I$192,2,TRUE)</f>
        <v>)~|</v>
      </c>
      <c r="P456" s="23">
        <v>1</v>
      </c>
      <c r="Q456" s="43" t="str">
        <f>VLOOKUP($D456,Sheet1!$J$5:$L$192,2,TRUE)</f>
        <v>)~|</v>
      </c>
      <c r="R456" s="23">
        <f>FLOOR(VLOOKUP($D456,Sheet1!$M$5:$O$192,3,TRUE),1)</f>
        <v>25</v>
      </c>
      <c r="S456" s="42" t="str">
        <f>VLOOKUP($D456,Sheet1!$M$5:$O$192,2,TRUE)</f>
        <v>)~|</v>
      </c>
      <c r="T456" s="117">
        <f>IF(ABS(D456-VLOOKUP($D456,Sheet1!$M$5:$T$192,8,TRUE))&lt;10^-10,"SoCA",D456-VLOOKUP($D456,Sheet1!$M$5:$T$192,8,TRUE))</f>
        <v>0.1803962070028895</v>
      </c>
      <c r="U456" s="109" t="str">
        <f>IF(VLOOKUP($D456,Sheet1!$M$5:$U$192,9,TRUE)=0,"",IF(ABS(D456-VLOOKUP($D456,Sheet1!$M$5:$U$192,9,TRUE))&lt;10^-10,"Alt.",D456-VLOOKUP($D456,Sheet1!$M$5:$U$192,9,TRUE)))</f>
        <v/>
      </c>
      <c r="V456" s="132">
        <f>$D456-Sheet1!$M$3*$R456</f>
        <v>4.6831780350942154E-2</v>
      </c>
      <c r="Z456" s="6"/>
      <c r="AA456" s="61"/>
    </row>
    <row r="457" spans="1:27" ht="13.5">
      <c r="A457" t="s">
        <v>1391</v>
      </c>
      <c r="B457">
        <v>38637</v>
      </c>
      <c r="C457">
        <v>38912</v>
      </c>
      <c r="D457" s="13">
        <f t="shared" si="11"/>
        <v>12.278465464139225</v>
      </c>
      <c r="E457" s="61" t="s">
        <v>1931</v>
      </c>
      <c r="F457" s="65">
        <v>74.045824013367479</v>
      </c>
      <c r="G457" s="6">
        <v>1304</v>
      </c>
      <c r="H457" s="6">
        <v>1240</v>
      </c>
      <c r="I457" s="65">
        <v>-6.7560298515121922</v>
      </c>
      <c r="J457" s="6">
        <f>VLOOKUP($D457,Sheet1!$A$5:$C$192,3,TRUE)</f>
        <v>2</v>
      </c>
      <c r="K457" s="42" t="str">
        <f>VLOOKUP($D457,Sheet1!$A$5:$C$192,2,TRUE)</f>
        <v>)|(</v>
      </c>
      <c r="L457" s="6">
        <f>FLOOR(VLOOKUP($D457,Sheet1!$D$5:$F$192,3,TRUE),1)</f>
        <v>5</v>
      </c>
      <c r="M457" s="42" t="str">
        <f>VLOOKUP($D457,Sheet1!$D$5:$F$192,2,TRUE)</f>
        <v>)~|</v>
      </c>
      <c r="N457" s="23">
        <f>FLOOR(VLOOKUP($D457,Sheet1!$G$5:$I$192,3,TRUE),1)</f>
        <v>6</v>
      </c>
      <c r="O457" s="42" t="str">
        <f>VLOOKUP($D457,Sheet1!$G$5:$I$192,2,TRUE)</f>
        <v>)~|</v>
      </c>
      <c r="P457" s="23">
        <v>1</v>
      </c>
      <c r="Q457" s="43" t="str">
        <f>VLOOKUP($D457,Sheet1!$J$5:$L$192,2,TRUE)</f>
        <v>)~|</v>
      </c>
      <c r="R457" s="23">
        <f>FLOOR(VLOOKUP($D457,Sheet1!$M$5:$O$192,3,TRUE),1)</f>
        <v>25</v>
      </c>
      <c r="S457" s="42" t="str">
        <f>VLOOKUP($D457,Sheet1!$M$5:$O$192,2,TRUE)</f>
        <v>)~|</v>
      </c>
      <c r="T457" s="117">
        <f>IF(ABS(D457-VLOOKUP($D457,Sheet1!$M$5:$T$192,8,TRUE))&lt;10^-10,"SoCA",D457-VLOOKUP($D457,Sheet1!$M$5:$T$192,8,TRUE))</f>
        <v>0.21406786743152395</v>
      </c>
      <c r="U457" s="109" t="str">
        <f>IF(VLOOKUP($D457,Sheet1!$M$5:$U$192,9,TRUE)=0,"",IF(ABS(D457-VLOOKUP($D457,Sheet1!$M$5:$U$192,9,TRUE))&lt;10^-10,"Alt.",D457-VLOOKUP($D457,Sheet1!$M$5:$U$192,9,TRUE)))</f>
        <v/>
      </c>
      <c r="V457" s="132">
        <f>$D457-Sheet1!$M$3*$R457</f>
        <v>8.0503440779576607E-2</v>
      </c>
      <c r="Z457" s="6"/>
      <c r="AA457" s="61"/>
    </row>
    <row r="458" spans="1:27" ht="13.5">
      <c r="A458" s="6" t="s">
        <v>1902</v>
      </c>
      <c r="B458">
        <v>29937843</v>
      </c>
      <c r="C458">
        <v>30146560</v>
      </c>
      <c r="D458" s="13">
        <f t="shared" si="11"/>
        <v>12.027728075367449</v>
      </c>
      <c r="E458" s="61">
        <v>23</v>
      </c>
      <c r="F458" s="65">
        <v>114.81769795202418</v>
      </c>
      <c r="G458" s="59">
        <v>1739</v>
      </c>
      <c r="H458" s="63">
        <v>1000107</v>
      </c>
      <c r="I458" s="65">
        <v>-11.740591036999472</v>
      </c>
      <c r="J458" s="6">
        <f>VLOOKUP($D458,Sheet1!$A$5:$C$192,3,TRUE)</f>
        <v>2</v>
      </c>
      <c r="K458" s="42" t="str">
        <f>VLOOKUP($D458,Sheet1!$A$5:$C$192,2,TRUE)</f>
        <v>)|(</v>
      </c>
      <c r="L458" s="6">
        <f>FLOOR(VLOOKUP($D458,Sheet1!$D$5:$F$192,3,TRUE),1)</f>
        <v>5</v>
      </c>
      <c r="M458" s="42" t="str">
        <f>VLOOKUP($D458,Sheet1!$D$5:$F$192,2,TRUE)</f>
        <v>)~|</v>
      </c>
      <c r="N458" s="23">
        <f>FLOOR(VLOOKUP($D458,Sheet1!$G$5:$I$192,3,TRUE),1)</f>
        <v>6</v>
      </c>
      <c r="O458" s="42" t="str">
        <f>VLOOKUP($D458,Sheet1!$G$5:$I$192,2,TRUE)</f>
        <v>)~|</v>
      </c>
      <c r="P458" s="23">
        <v>1</v>
      </c>
      <c r="Q458" s="43" t="str">
        <f>VLOOKUP($D458,Sheet1!$J$5:$L$192,2,TRUE)</f>
        <v>)~|</v>
      </c>
      <c r="R458" s="23">
        <f>FLOOR(VLOOKUP($D458,Sheet1!$M$5:$O$192,3,TRUE),1)</f>
        <v>25</v>
      </c>
      <c r="S458" s="42" t="str">
        <f>VLOOKUP($D458,Sheet1!$M$5:$O$192,2,TRUE)</f>
        <v>)~|</v>
      </c>
      <c r="T458" s="117">
        <f>IF(ABS(D458-VLOOKUP($D458,Sheet1!$M$5:$T$192,8,TRUE))&lt;10^-10,"SoCA",D458-VLOOKUP($D458,Sheet1!$M$5:$T$192,8,TRUE))</f>
        <v>-3.6669521340252587E-2</v>
      </c>
      <c r="U458" s="109" t="str">
        <f>IF(VLOOKUP($D458,Sheet1!$M$5:$U$192,9,TRUE)=0,"",IF(ABS(D458-VLOOKUP($D458,Sheet1!$M$5:$U$192,9,TRUE))&lt;10^-10,"Alt.",D458-VLOOKUP($D458,Sheet1!$M$5:$U$192,9,TRUE)))</f>
        <v/>
      </c>
      <c r="V458" s="132">
        <f>$D458-Sheet1!$M$3*$R458</f>
        <v>-0.17023394799219993</v>
      </c>
      <c r="Z458" s="6"/>
      <c r="AA458" s="61"/>
    </row>
    <row r="459" spans="1:27" ht="13.5">
      <c r="A459" t="s">
        <v>443</v>
      </c>
      <c r="B459">
        <v>141</v>
      </c>
      <c r="C459">
        <v>142</v>
      </c>
      <c r="D459" s="13">
        <f t="shared" si="11"/>
        <v>12.234920527066036</v>
      </c>
      <c r="E459" s="61" t="s">
        <v>1931</v>
      </c>
      <c r="F459" s="65">
        <v>118.07102982186095</v>
      </c>
      <c r="G459" s="6">
        <v>320</v>
      </c>
      <c r="H459" s="6">
        <v>281</v>
      </c>
      <c r="I459" s="65">
        <v>-1.7533486310937527</v>
      </c>
      <c r="J459" s="6">
        <f>VLOOKUP($D459,Sheet1!$A$5:$C$192,3,TRUE)</f>
        <v>2</v>
      </c>
      <c r="K459" s="42" t="str">
        <f>VLOOKUP($D459,Sheet1!$A$5:$C$192,2,TRUE)</f>
        <v>)|(</v>
      </c>
      <c r="L459" s="6">
        <f>FLOOR(VLOOKUP($D459,Sheet1!$D$5:$F$192,3,TRUE),1)</f>
        <v>5</v>
      </c>
      <c r="M459" s="42" t="str">
        <f>VLOOKUP($D459,Sheet1!$D$5:$F$192,2,TRUE)</f>
        <v>)~|</v>
      </c>
      <c r="N459" s="23">
        <f>FLOOR(VLOOKUP($D459,Sheet1!$G$5:$I$192,3,TRUE),1)</f>
        <v>6</v>
      </c>
      <c r="O459" s="42" t="str">
        <f>VLOOKUP($D459,Sheet1!$G$5:$I$192,2,TRUE)</f>
        <v>)~|</v>
      </c>
      <c r="P459" s="23">
        <v>1</v>
      </c>
      <c r="Q459" s="43" t="str">
        <f>VLOOKUP($D459,Sheet1!$J$5:$L$192,2,TRUE)</f>
        <v>)~|</v>
      </c>
      <c r="R459" s="23">
        <f>FLOOR(VLOOKUP($D459,Sheet1!$M$5:$O$192,3,TRUE),1)</f>
        <v>25</v>
      </c>
      <c r="S459" s="42" t="str">
        <f>VLOOKUP($D459,Sheet1!$M$5:$O$192,2,TRUE)</f>
        <v>)~|</v>
      </c>
      <c r="T459" s="117">
        <f>IF(ABS(D459-VLOOKUP($D459,Sheet1!$M$5:$T$192,8,TRUE))&lt;10^-10,"SoCA",D459-VLOOKUP($D459,Sheet1!$M$5:$T$192,8,TRUE))</f>
        <v>0.17052293035833443</v>
      </c>
      <c r="U459" s="109" t="str">
        <f>IF(VLOOKUP($D459,Sheet1!$M$5:$U$192,9,TRUE)=0,"",IF(ABS(D459-VLOOKUP($D459,Sheet1!$M$5:$U$192,9,TRUE))&lt;10^-10,"Alt.",D459-VLOOKUP($D459,Sheet1!$M$5:$U$192,9,TRUE)))</f>
        <v/>
      </c>
      <c r="V459" s="132">
        <f>$D459-Sheet1!$M$3*$R459</f>
        <v>3.6958503706387091E-2</v>
      </c>
      <c r="Z459" s="6"/>
      <c r="AA459" s="61"/>
    </row>
    <row r="460" spans="1:27" ht="13.5">
      <c r="A460" t="s">
        <v>1199</v>
      </c>
      <c r="B460">
        <v>82944</v>
      </c>
      <c r="C460">
        <v>83521</v>
      </c>
      <c r="D460" s="13">
        <f t="shared" si="11"/>
        <v>12.001634540079653</v>
      </c>
      <c r="E460" s="61">
        <v>17</v>
      </c>
      <c r="F460" s="65">
        <v>122.9011281583157</v>
      </c>
      <c r="G460" s="6">
        <v>1107</v>
      </c>
      <c r="H460" s="6">
        <v>1048</v>
      </c>
      <c r="I460" s="65">
        <v>-4.7389843629678774</v>
      </c>
      <c r="J460" s="6">
        <f>VLOOKUP($D460,Sheet1!$A$5:$C$192,3,TRUE)</f>
        <v>2</v>
      </c>
      <c r="K460" s="42" t="str">
        <f>VLOOKUP($D460,Sheet1!$A$5:$C$192,2,TRUE)</f>
        <v>)|(</v>
      </c>
      <c r="L460" s="6">
        <f>FLOOR(VLOOKUP($D460,Sheet1!$D$5:$F$192,3,TRUE),1)</f>
        <v>5</v>
      </c>
      <c r="M460" s="42" t="str">
        <f>VLOOKUP($D460,Sheet1!$D$5:$F$192,2,TRUE)</f>
        <v>)~|</v>
      </c>
      <c r="N460" s="23">
        <f>FLOOR(VLOOKUP($D460,Sheet1!$G$5:$I$192,3,TRUE),1)</f>
        <v>6</v>
      </c>
      <c r="O460" s="42" t="str">
        <f>VLOOKUP($D460,Sheet1!$G$5:$I$192,2,TRUE)</f>
        <v>)~|</v>
      </c>
      <c r="P460" s="23">
        <v>1</v>
      </c>
      <c r="Q460" s="43" t="str">
        <f>VLOOKUP($D460,Sheet1!$J$5:$L$192,2,TRUE)</f>
        <v>)~|</v>
      </c>
      <c r="R460" s="23">
        <f>FLOOR(VLOOKUP($D460,Sheet1!$M$5:$O$192,3,TRUE),1)</f>
        <v>25</v>
      </c>
      <c r="S460" s="42" t="str">
        <f>VLOOKUP($D460,Sheet1!$M$5:$O$192,2,TRUE)</f>
        <v>)~|</v>
      </c>
      <c r="T460" s="117">
        <f>IF(ABS(D460-VLOOKUP($D460,Sheet1!$M$5:$T$192,8,TRUE))&lt;10^-10,"SoCA",D460-VLOOKUP($D460,Sheet1!$M$5:$T$192,8,TRUE))</f>
        <v>-6.2763056628048375E-2</v>
      </c>
      <c r="U460" s="109" t="str">
        <f>IF(VLOOKUP($D460,Sheet1!$M$5:$U$192,9,TRUE)=0,"",IF(ABS(D460-VLOOKUP($D460,Sheet1!$M$5:$U$192,9,TRUE))&lt;10^-10,"Alt.",D460-VLOOKUP($D460,Sheet1!$M$5:$U$192,9,TRUE)))</f>
        <v/>
      </c>
      <c r="V460" s="132">
        <f>$D460-Sheet1!$M$3*$R460</f>
        <v>-0.19632748327999572</v>
      </c>
      <c r="Z460" s="6"/>
      <c r="AA460" s="61"/>
    </row>
    <row r="461" spans="1:27" ht="13.5">
      <c r="A461" s="6" t="s">
        <v>1872</v>
      </c>
      <c r="B461">
        <v>40632320</v>
      </c>
      <c r="C461">
        <v>40920957</v>
      </c>
      <c r="D461" s="13">
        <f t="shared" si="11"/>
        <v>12.254572889445587</v>
      </c>
      <c r="E461" s="61">
        <v>31</v>
      </c>
      <c r="F461" s="65">
        <v>126.53545485357218</v>
      </c>
      <c r="G461" s="59">
        <v>1708</v>
      </c>
      <c r="H461" s="63">
        <v>1000077</v>
      </c>
      <c r="I461" s="65">
        <v>11.245441301357085</v>
      </c>
      <c r="J461" s="6">
        <f>VLOOKUP($D461,Sheet1!$A$5:$C$192,3,TRUE)</f>
        <v>2</v>
      </c>
      <c r="K461" s="42" t="str">
        <f>VLOOKUP($D461,Sheet1!$A$5:$C$192,2,TRUE)</f>
        <v>)|(</v>
      </c>
      <c r="L461" s="6">
        <f>FLOOR(VLOOKUP($D461,Sheet1!$D$5:$F$192,3,TRUE),1)</f>
        <v>5</v>
      </c>
      <c r="M461" s="42" t="str">
        <f>VLOOKUP($D461,Sheet1!$D$5:$F$192,2,TRUE)</f>
        <v>)~|</v>
      </c>
      <c r="N461" s="23">
        <f>FLOOR(VLOOKUP($D461,Sheet1!$G$5:$I$192,3,TRUE),1)</f>
        <v>6</v>
      </c>
      <c r="O461" s="42" t="str">
        <f>VLOOKUP($D461,Sheet1!$G$5:$I$192,2,TRUE)</f>
        <v>)~|</v>
      </c>
      <c r="P461" s="23">
        <v>1</v>
      </c>
      <c r="Q461" s="43" t="str">
        <f>VLOOKUP($D461,Sheet1!$J$5:$L$192,2,TRUE)</f>
        <v>)~|</v>
      </c>
      <c r="R461" s="23">
        <f>FLOOR(VLOOKUP($D461,Sheet1!$M$5:$O$192,3,TRUE),1)</f>
        <v>25</v>
      </c>
      <c r="S461" s="42" t="str">
        <f>VLOOKUP($D461,Sheet1!$M$5:$O$192,2,TRUE)</f>
        <v>)~|</v>
      </c>
      <c r="T461" s="117">
        <f>IF(ABS(D461-VLOOKUP($D461,Sheet1!$M$5:$T$192,8,TRUE))&lt;10^-10,"SoCA",D461-VLOOKUP($D461,Sheet1!$M$5:$T$192,8,TRUE))</f>
        <v>0.19017529273788547</v>
      </c>
      <c r="U461" s="109" t="str">
        <f>IF(VLOOKUP($D461,Sheet1!$M$5:$U$192,9,TRUE)=0,"",IF(ABS(D461-VLOOKUP($D461,Sheet1!$M$5:$U$192,9,TRUE))&lt;10^-10,"Alt.",D461-VLOOKUP($D461,Sheet1!$M$5:$U$192,9,TRUE)))</f>
        <v/>
      </c>
      <c r="V461" s="132">
        <f>$D461-Sheet1!$M$3*$R461</f>
        <v>5.6610866085938127E-2</v>
      </c>
      <c r="Z461" s="6"/>
      <c r="AA461" s="61"/>
    </row>
    <row r="462" spans="1:27" ht="13.5">
      <c r="A462" t="s">
        <v>1637</v>
      </c>
      <c r="B462">
        <v>68719476736</v>
      </c>
      <c r="C462">
        <v>69198046875</v>
      </c>
      <c r="D462" s="13">
        <f t="shared" si="11"/>
        <v>12.014720437940134</v>
      </c>
      <c r="E462" s="61">
        <v>5</v>
      </c>
      <c r="F462" s="65">
        <v>137.80471106761382</v>
      </c>
      <c r="G462" s="6">
        <v>970</v>
      </c>
      <c r="H462" s="6">
        <v>1486</v>
      </c>
      <c r="I462" s="65">
        <v>10.260209890626331</v>
      </c>
      <c r="J462" s="6">
        <f>VLOOKUP($D462,Sheet1!$A$5:$C$192,3,TRUE)</f>
        <v>2</v>
      </c>
      <c r="K462" s="42" t="str">
        <f>VLOOKUP($D462,Sheet1!$A$5:$C$192,2,TRUE)</f>
        <v>)|(</v>
      </c>
      <c r="L462" s="6">
        <f>FLOOR(VLOOKUP($D462,Sheet1!$D$5:$F$192,3,TRUE),1)</f>
        <v>5</v>
      </c>
      <c r="M462" s="42" t="str">
        <f>VLOOKUP($D462,Sheet1!$D$5:$F$192,2,TRUE)</f>
        <v>)~|</v>
      </c>
      <c r="N462" s="23">
        <f>FLOOR(VLOOKUP($D462,Sheet1!$G$5:$I$192,3,TRUE),1)</f>
        <v>6</v>
      </c>
      <c r="O462" s="42" t="str">
        <f>VLOOKUP($D462,Sheet1!$G$5:$I$192,2,TRUE)</f>
        <v>)~|</v>
      </c>
      <c r="P462" s="23">
        <v>1</v>
      </c>
      <c r="Q462" s="43" t="str">
        <f>VLOOKUP($D462,Sheet1!$J$5:$L$192,2,TRUE)</f>
        <v>)~|</v>
      </c>
      <c r="R462" s="23">
        <f>FLOOR(VLOOKUP($D462,Sheet1!$M$5:$O$192,3,TRUE),1)</f>
        <v>25</v>
      </c>
      <c r="S462" s="42" t="str">
        <f>VLOOKUP($D462,Sheet1!$M$5:$O$192,2,TRUE)</f>
        <v>)~|</v>
      </c>
      <c r="T462" s="117">
        <f>IF(ABS(D462-VLOOKUP($D462,Sheet1!$M$5:$T$192,8,TRUE))&lt;10^-10,"SoCA",D462-VLOOKUP($D462,Sheet1!$M$5:$T$192,8,TRUE))</f>
        <v>-4.9677158767567065E-2</v>
      </c>
      <c r="U462" s="109" t="str">
        <f>IF(VLOOKUP($D462,Sheet1!$M$5:$U$192,9,TRUE)=0,"",IF(ABS(D462-VLOOKUP($D462,Sheet1!$M$5:$U$192,9,TRUE))&lt;10^-10,"Alt.",D462-VLOOKUP($D462,Sheet1!$M$5:$U$192,9,TRUE)))</f>
        <v/>
      </c>
      <c r="V462" s="132">
        <f>$D462-Sheet1!$M$3*$R462</f>
        <v>-0.18324158541951441</v>
      </c>
      <c r="Z462" s="6"/>
      <c r="AA462" s="61"/>
    </row>
    <row r="463" spans="1:27" ht="13.5">
      <c r="A463" t="s">
        <v>1594</v>
      </c>
      <c r="B463">
        <v>52488</v>
      </c>
      <c r="C463">
        <v>52855</v>
      </c>
      <c r="D463" s="13">
        <f t="shared" si="11"/>
        <v>12.062794234992571</v>
      </c>
      <c r="E463" s="61">
        <v>31</v>
      </c>
      <c r="F463" s="65">
        <v>148.68357675071698</v>
      </c>
      <c r="G463" s="6">
        <v>1501</v>
      </c>
      <c r="H463" s="6">
        <v>1443</v>
      </c>
      <c r="I463" s="65">
        <v>-8.7427501882005654</v>
      </c>
      <c r="J463" s="6">
        <f>VLOOKUP($D463,Sheet1!$A$5:$C$192,3,TRUE)</f>
        <v>2</v>
      </c>
      <c r="K463" s="42" t="str">
        <f>VLOOKUP($D463,Sheet1!$A$5:$C$192,2,TRUE)</f>
        <v>)|(</v>
      </c>
      <c r="L463" s="6">
        <f>FLOOR(VLOOKUP($D463,Sheet1!$D$5:$F$192,3,TRUE),1)</f>
        <v>5</v>
      </c>
      <c r="M463" s="42" t="str">
        <f>VLOOKUP($D463,Sheet1!$D$5:$F$192,2,TRUE)</f>
        <v>)~|</v>
      </c>
      <c r="N463" s="23">
        <f>FLOOR(VLOOKUP($D463,Sheet1!$G$5:$I$192,3,TRUE),1)</f>
        <v>6</v>
      </c>
      <c r="O463" s="42" t="str">
        <f>VLOOKUP($D463,Sheet1!$G$5:$I$192,2,TRUE)</f>
        <v>)~|</v>
      </c>
      <c r="P463" s="23">
        <v>1</v>
      </c>
      <c r="Q463" s="43" t="str">
        <f>VLOOKUP($D463,Sheet1!$J$5:$L$192,2,TRUE)</f>
        <v>)~|</v>
      </c>
      <c r="R463" s="23">
        <f>FLOOR(VLOOKUP($D463,Sheet1!$M$5:$O$192,3,TRUE),1)</f>
        <v>25</v>
      </c>
      <c r="S463" s="42" t="str">
        <f>VLOOKUP($D463,Sheet1!$M$5:$O$192,2,TRUE)</f>
        <v>)~|</v>
      </c>
      <c r="T463" s="117">
        <f>IF(ABS(D463-VLOOKUP($D463,Sheet1!$M$5:$T$192,8,TRUE))&lt;10^-10,"SoCA",D463-VLOOKUP($D463,Sheet1!$M$5:$T$192,8,TRUE))</f>
        <v>-1.6033617151300916E-3</v>
      </c>
      <c r="U463" s="109" t="str">
        <f>IF(VLOOKUP($D463,Sheet1!$M$5:$U$192,9,TRUE)=0,"",IF(ABS(D463-VLOOKUP($D463,Sheet1!$M$5:$U$192,9,TRUE))&lt;10^-10,"Alt.",D463-VLOOKUP($D463,Sheet1!$M$5:$U$192,9,TRUE)))</f>
        <v/>
      </c>
      <c r="V463" s="132">
        <f>$D463-Sheet1!$M$3*$R463</f>
        <v>-0.13516778836707743</v>
      </c>
      <c r="Z463" s="6"/>
      <c r="AA463" s="61"/>
    </row>
    <row r="464" spans="1:27" ht="13.5">
      <c r="A464" t="s">
        <v>1244</v>
      </c>
      <c r="B464">
        <v>1454080</v>
      </c>
      <c r="C464">
        <v>1464561</v>
      </c>
      <c r="D464" s="13">
        <f t="shared" si="11"/>
        <v>12.433966401821669</v>
      </c>
      <c r="E464" s="61" t="s">
        <v>1931</v>
      </c>
      <c r="F464" s="65">
        <v>158.57300440138721</v>
      </c>
      <c r="G464" s="6">
        <v>1152</v>
      </c>
      <c r="H464" s="6">
        <v>1093</v>
      </c>
      <c r="I464" s="65">
        <v>5.2343953892339403</v>
      </c>
      <c r="J464" s="6">
        <f>VLOOKUP($D464,Sheet1!$A$5:$C$192,3,TRUE)</f>
        <v>2</v>
      </c>
      <c r="K464" s="42" t="str">
        <f>VLOOKUP($D464,Sheet1!$A$5:$C$192,2,TRUE)</f>
        <v>)|(</v>
      </c>
      <c r="L464" s="6">
        <f>FLOOR(VLOOKUP($D464,Sheet1!$D$5:$F$192,3,TRUE),1)</f>
        <v>5</v>
      </c>
      <c r="M464" s="42" t="str">
        <f>VLOOKUP($D464,Sheet1!$D$5:$F$192,2,TRUE)</f>
        <v>)~|</v>
      </c>
      <c r="N464" s="23">
        <f>FLOOR(VLOOKUP($D464,Sheet1!$G$5:$I$192,3,TRUE),1)</f>
        <v>6</v>
      </c>
      <c r="O464" s="42" t="str">
        <f>VLOOKUP($D464,Sheet1!$G$5:$I$192,2,TRUE)</f>
        <v>)~|</v>
      </c>
      <c r="P464" s="23">
        <v>1</v>
      </c>
      <c r="Q464" s="43" t="str">
        <f>VLOOKUP($D464,Sheet1!$J$5:$L$192,2,TRUE)</f>
        <v>)~|</v>
      </c>
      <c r="R464" s="23">
        <f>FLOOR(VLOOKUP($D464,Sheet1!$M$5:$O$192,3,TRUE),1)</f>
        <v>25</v>
      </c>
      <c r="S464" s="42" t="str">
        <f>VLOOKUP($D464,Sheet1!$M$5:$O$192,2,TRUE)</f>
        <v>)~|</v>
      </c>
      <c r="T464" s="117">
        <f>IF(ABS(D464-VLOOKUP($D464,Sheet1!$M$5:$T$192,8,TRUE))&lt;10^-10,"SoCA",D464-VLOOKUP($D464,Sheet1!$M$5:$T$192,8,TRUE))</f>
        <v>0.36956880511396761</v>
      </c>
      <c r="U464" s="109" t="str">
        <f>IF(VLOOKUP($D464,Sheet1!$M$5:$U$192,9,TRUE)=0,"",IF(ABS(D464-VLOOKUP($D464,Sheet1!$M$5:$U$192,9,TRUE))&lt;10^-10,"Alt.",D464-VLOOKUP($D464,Sheet1!$M$5:$U$192,9,TRUE)))</f>
        <v/>
      </c>
      <c r="V464" s="132">
        <f>$D464-Sheet1!$M$3*$R464</f>
        <v>0.23600437846202027</v>
      </c>
      <c r="Z464" s="6"/>
      <c r="AA464" s="61"/>
    </row>
    <row r="465" spans="1:27" ht="13.5">
      <c r="A465" t="s">
        <v>1597</v>
      </c>
      <c r="B465">
        <v>898857</v>
      </c>
      <c r="C465">
        <v>905216</v>
      </c>
      <c r="D465" s="13">
        <f t="shared" si="11"/>
        <v>12.204564793986432</v>
      </c>
      <c r="E465" s="61" t="s">
        <v>1931</v>
      </c>
      <c r="F465" s="65">
        <v>210.13415764814329</v>
      </c>
      <c r="G465" s="6">
        <v>1504</v>
      </c>
      <c r="H465" s="6">
        <v>1446</v>
      </c>
      <c r="I465" s="65">
        <v>-8.7514795180160849</v>
      </c>
      <c r="J465" s="6">
        <f>VLOOKUP($D465,Sheet1!$A$5:$C$192,3,TRUE)</f>
        <v>2</v>
      </c>
      <c r="K465" s="42" t="str">
        <f>VLOOKUP($D465,Sheet1!$A$5:$C$192,2,TRUE)</f>
        <v>)|(</v>
      </c>
      <c r="L465" s="6">
        <f>FLOOR(VLOOKUP($D465,Sheet1!$D$5:$F$192,3,TRUE),1)</f>
        <v>5</v>
      </c>
      <c r="M465" s="42" t="str">
        <f>VLOOKUP($D465,Sheet1!$D$5:$F$192,2,TRUE)</f>
        <v>)~|</v>
      </c>
      <c r="N465" s="23">
        <f>FLOOR(VLOOKUP($D465,Sheet1!$G$5:$I$192,3,TRUE),1)</f>
        <v>6</v>
      </c>
      <c r="O465" s="42" t="str">
        <f>VLOOKUP($D465,Sheet1!$G$5:$I$192,2,TRUE)</f>
        <v>)~|</v>
      </c>
      <c r="P465" s="23">
        <v>1</v>
      </c>
      <c r="Q465" s="43" t="str">
        <f>VLOOKUP($D465,Sheet1!$J$5:$L$192,2,TRUE)</f>
        <v>)~|</v>
      </c>
      <c r="R465" s="23">
        <f>FLOOR(VLOOKUP($D465,Sheet1!$M$5:$O$192,3,TRUE),1)</f>
        <v>25</v>
      </c>
      <c r="S465" s="42" t="str">
        <f>VLOOKUP($D465,Sheet1!$M$5:$O$192,2,TRUE)</f>
        <v>)~|</v>
      </c>
      <c r="T465" s="117">
        <f>IF(ABS(D465-VLOOKUP($D465,Sheet1!$M$5:$T$192,8,TRUE))&lt;10^-10,"SoCA",D465-VLOOKUP($D465,Sheet1!$M$5:$T$192,8,TRUE))</f>
        <v>0.14016719727873017</v>
      </c>
      <c r="U465" s="109" t="str">
        <f>IF(VLOOKUP($D465,Sheet1!$M$5:$U$192,9,TRUE)=0,"",IF(ABS(D465-VLOOKUP($D465,Sheet1!$M$5:$U$192,9,TRUE))&lt;10^-10,"Alt.",D465-VLOOKUP($D465,Sheet1!$M$5:$U$192,9,TRUE)))</f>
        <v/>
      </c>
      <c r="V465" s="132">
        <f>$D465-Sheet1!$M$3*$R465</f>
        <v>6.6027706267828279E-3</v>
      </c>
      <c r="Z465" s="6"/>
      <c r="AA465" s="61"/>
    </row>
    <row r="466" spans="1:27" ht="13.5">
      <c r="A466" t="s">
        <v>1441</v>
      </c>
      <c r="B466">
        <v>827392</v>
      </c>
      <c r="C466">
        <v>833247</v>
      </c>
      <c r="D466" s="13">
        <f t="shared" si="11"/>
        <v>12.207851747544504</v>
      </c>
      <c r="E466" s="61" t="s">
        <v>1931</v>
      </c>
      <c r="F466" s="65">
        <v>234.12906946464636</v>
      </c>
      <c r="G466" s="6">
        <v>1356</v>
      </c>
      <c r="H466" s="6">
        <v>1290</v>
      </c>
      <c r="I466" s="65">
        <v>7.2483180922783212</v>
      </c>
      <c r="J466" s="6">
        <f>VLOOKUP($D466,Sheet1!$A$5:$C$192,3,TRUE)</f>
        <v>2</v>
      </c>
      <c r="K466" s="42" t="str">
        <f>VLOOKUP($D466,Sheet1!$A$5:$C$192,2,TRUE)</f>
        <v>)|(</v>
      </c>
      <c r="L466" s="6">
        <f>FLOOR(VLOOKUP($D466,Sheet1!$D$5:$F$192,3,TRUE),1)</f>
        <v>5</v>
      </c>
      <c r="M466" s="42" t="str">
        <f>VLOOKUP($D466,Sheet1!$D$5:$F$192,2,TRUE)</f>
        <v>)~|</v>
      </c>
      <c r="N466" s="23">
        <f>FLOOR(VLOOKUP($D466,Sheet1!$G$5:$I$192,3,TRUE),1)</f>
        <v>6</v>
      </c>
      <c r="O466" s="42" t="str">
        <f>VLOOKUP($D466,Sheet1!$G$5:$I$192,2,TRUE)</f>
        <v>)~|</v>
      </c>
      <c r="P466" s="23">
        <v>1</v>
      </c>
      <c r="Q466" s="43" t="str">
        <f>VLOOKUP($D466,Sheet1!$J$5:$L$192,2,TRUE)</f>
        <v>)~|</v>
      </c>
      <c r="R466" s="23">
        <f>FLOOR(VLOOKUP($D466,Sheet1!$M$5:$O$192,3,TRUE),1)</f>
        <v>25</v>
      </c>
      <c r="S466" s="42" t="str">
        <f>VLOOKUP($D466,Sheet1!$M$5:$O$192,2,TRUE)</f>
        <v>)~|</v>
      </c>
      <c r="T466" s="117">
        <f>IF(ABS(D466-VLOOKUP($D466,Sheet1!$M$5:$T$192,8,TRUE))&lt;10^-10,"SoCA",D466-VLOOKUP($D466,Sheet1!$M$5:$T$192,8,TRUE))</f>
        <v>0.1434541508368028</v>
      </c>
      <c r="U466" s="109" t="str">
        <f>IF(VLOOKUP($D466,Sheet1!$M$5:$U$192,9,TRUE)=0,"",IF(ABS(D466-VLOOKUP($D466,Sheet1!$M$5:$U$192,9,TRUE))&lt;10^-10,"Alt.",D466-VLOOKUP($D466,Sheet1!$M$5:$U$192,9,TRUE)))</f>
        <v/>
      </c>
      <c r="V466" s="132">
        <f>$D466-Sheet1!$M$3*$R466</f>
        <v>9.8897241848554529E-3</v>
      </c>
      <c r="Z466" s="6"/>
      <c r="AA466" s="61"/>
    </row>
    <row r="467" spans="1:27" ht="13.5">
      <c r="A467" t="s">
        <v>1248</v>
      </c>
      <c r="B467">
        <v>407552</v>
      </c>
      <c r="C467">
        <v>410427</v>
      </c>
      <c r="D467" s="13">
        <f t="shared" si="11"/>
        <v>12.169795036221279</v>
      </c>
      <c r="E467" s="61" t="s">
        <v>1931</v>
      </c>
      <c r="F467" s="65">
        <v>763.87165752396277</v>
      </c>
      <c r="G467" s="6">
        <v>1155</v>
      </c>
      <c r="H467" s="6">
        <v>1097</v>
      </c>
      <c r="I467" s="65">
        <v>5.2506613826426403</v>
      </c>
      <c r="J467" s="6">
        <f>VLOOKUP($D467,Sheet1!$A$5:$C$192,3,TRUE)</f>
        <v>2</v>
      </c>
      <c r="K467" s="42" t="str">
        <f>VLOOKUP($D467,Sheet1!$A$5:$C$192,2,TRUE)</f>
        <v>)|(</v>
      </c>
      <c r="L467" s="6">
        <f>FLOOR(VLOOKUP($D467,Sheet1!$D$5:$F$192,3,TRUE),1)</f>
        <v>5</v>
      </c>
      <c r="M467" s="42" t="str">
        <f>VLOOKUP($D467,Sheet1!$D$5:$F$192,2,TRUE)</f>
        <v>)~|</v>
      </c>
      <c r="N467" s="23">
        <f>FLOOR(VLOOKUP($D467,Sheet1!$G$5:$I$192,3,TRUE),1)</f>
        <v>6</v>
      </c>
      <c r="O467" s="42" t="str">
        <f>VLOOKUP($D467,Sheet1!$G$5:$I$192,2,TRUE)</f>
        <v>)~|</v>
      </c>
      <c r="P467" s="23">
        <v>1</v>
      </c>
      <c r="Q467" s="43" t="str">
        <f>VLOOKUP($D467,Sheet1!$J$5:$L$192,2,TRUE)</f>
        <v>)~|</v>
      </c>
      <c r="R467" s="23">
        <f>FLOOR(VLOOKUP($D467,Sheet1!$M$5:$O$192,3,TRUE),1)</f>
        <v>25</v>
      </c>
      <c r="S467" s="42" t="str">
        <f>VLOOKUP($D467,Sheet1!$M$5:$O$192,2,TRUE)</f>
        <v>)~|</v>
      </c>
      <c r="T467" s="117">
        <f>IF(ABS(D467-VLOOKUP($D467,Sheet1!$M$5:$T$192,8,TRUE))&lt;10^-10,"SoCA",D467-VLOOKUP($D467,Sheet1!$M$5:$T$192,8,TRUE))</f>
        <v>0.1053974395135775</v>
      </c>
      <c r="U467" s="109" t="str">
        <f>IF(VLOOKUP($D467,Sheet1!$M$5:$U$192,9,TRUE)=0,"",IF(ABS(D467-VLOOKUP($D467,Sheet1!$M$5:$U$192,9,TRUE))&lt;10^-10,"Alt.",D467-VLOOKUP($D467,Sheet1!$M$5:$U$192,9,TRUE)))</f>
        <v/>
      </c>
      <c r="V467" s="132">
        <f>$D467-Sheet1!$M$3*$R467</f>
        <v>-2.8166987138369848E-2</v>
      </c>
      <c r="Z467" s="6"/>
      <c r="AA467" s="61"/>
    </row>
    <row r="468" spans="1:27" ht="13.5">
      <c r="A468" s="6" t="s">
        <v>1833</v>
      </c>
      <c r="B468">
        <v>245112399</v>
      </c>
      <c r="C468">
        <v>246874112</v>
      </c>
      <c r="D468" s="13">
        <f t="shared" si="11"/>
        <v>12.39851295866773</v>
      </c>
      <c r="E468" s="61" t="s">
        <v>1931</v>
      </c>
      <c r="F468" s="65">
        <v>5304.3544842309038</v>
      </c>
      <c r="G468" s="59">
        <v>1605</v>
      </c>
      <c r="H468" s="63">
        <v>1000038</v>
      </c>
      <c r="I468" s="65">
        <v>-10.763421613107147</v>
      </c>
      <c r="J468" s="6">
        <f>VLOOKUP($D468,Sheet1!$A$5:$C$192,3,TRUE)</f>
        <v>2</v>
      </c>
      <c r="K468" s="42" t="str">
        <f>VLOOKUP($D468,Sheet1!$A$5:$C$192,2,TRUE)</f>
        <v>)|(</v>
      </c>
      <c r="L468" s="6">
        <f>FLOOR(VLOOKUP($D468,Sheet1!$D$5:$F$192,3,TRUE),1)</f>
        <v>5</v>
      </c>
      <c r="M468" s="42" t="str">
        <f>VLOOKUP($D468,Sheet1!$D$5:$F$192,2,TRUE)</f>
        <v>)~|</v>
      </c>
      <c r="N468" s="23">
        <f>FLOOR(VLOOKUP($D468,Sheet1!$G$5:$I$192,3,TRUE),1)</f>
        <v>6</v>
      </c>
      <c r="O468" s="42" t="str">
        <f>VLOOKUP($D468,Sheet1!$G$5:$I$192,2,TRUE)</f>
        <v>)~|</v>
      </c>
      <c r="P468" s="23">
        <v>1</v>
      </c>
      <c r="Q468" s="43" t="str">
        <f>VLOOKUP($D468,Sheet1!$J$5:$L$192,2,TRUE)</f>
        <v>)~|</v>
      </c>
      <c r="R468" s="23">
        <f>FLOOR(VLOOKUP($D468,Sheet1!$M$5:$O$192,3,TRUE),1)</f>
        <v>25</v>
      </c>
      <c r="S468" s="42" t="str">
        <f>VLOOKUP($D468,Sheet1!$M$5:$O$192,2,TRUE)</f>
        <v>)~|</v>
      </c>
      <c r="T468" s="117">
        <f>IF(ABS(D468-VLOOKUP($D468,Sheet1!$M$5:$T$192,8,TRUE))&lt;10^-10,"SoCA",D468-VLOOKUP($D468,Sheet1!$M$5:$T$192,8,TRUE))</f>
        <v>0.33411536196002878</v>
      </c>
      <c r="U468" s="109" t="str">
        <f>IF(VLOOKUP($D468,Sheet1!$M$5:$U$192,9,TRUE)=0,"",IF(ABS(D468-VLOOKUP($D468,Sheet1!$M$5:$U$192,9,TRUE))&lt;10^-10,"Alt.",D468-VLOOKUP($D468,Sheet1!$M$5:$U$192,9,TRUE)))</f>
        <v/>
      </c>
      <c r="V468" s="132">
        <f>$D468-Sheet1!$M$3*$R468</f>
        <v>0.20055093530808143</v>
      </c>
      <c r="Z468" s="6"/>
      <c r="AA468" s="61"/>
    </row>
    <row r="469" spans="1:27" ht="13.5">
      <c r="A469" s="48" t="s">
        <v>55</v>
      </c>
      <c r="B469" s="48">
        <f>3^3*5</f>
        <v>135</v>
      </c>
      <c r="C469" s="54">
        <f>2^3*17</f>
        <v>136</v>
      </c>
      <c r="D469" s="13">
        <f t="shared" si="11"/>
        <v>12.776693039410047</v>
      </c>
      <c r="E469" s="61">
        <v>17</v>
      </c>
      <c r="F469" s="65">
        <v>22.191374454453964</v>
      </c>
      <c r="G469" s="6">
        <v>40</v>
      </c>
      <c r="H469" s="6">
        <v>38</v>
      </c>
      <c r="I469" s="65">
        <v>-3.7867075384634972</v>
      </c>
      <c r="J469" s="6">
        <f>VLOOKUP($D469,Sheet1!$A$5:$C$192,3,TRUE)</f>
        <v>2</v>
      </c>
      <c r="K469" s="42" t="str">
        <f>VLOOKUP($D469,Sheet1!$A$5:$C$192,2,TRUE)</f>
        <v>)|(</v>
      </c>
      <c r="L469" s="6">
        <f>FLOOR(VLOOKUP($D469,Sheet1!$D$5:$F$192,3,TRUE),1)</f>
        <v>5</v>
      </c>
      <c r="M469" s="42" t="str">
        <f>VLOOKUP($D469,Sheet1!$D$5:$F$192,2,TRUE)</f>
        <v>)~|</v>
      </c>
      <c r="N469" s="39">
        <f>FLOOR(VLOOKUP($D469,Sheet1!$G$5:$I$192,3,TRUE),1)</f>
        <v>6</v>
      </c>
      <c r="O469" s="44" t="str">
        <f>VLOOKUP($D469,Sheet1!$G$5:$I$192,2,TRUE)</f>
        <v>.~|(</v>
      </c>
      <c r="P469" s="39">
        <v>1</v>
      </c>
      <c r="Q469" s="44" t="str">
        <f>VLOOKUP($D469,Sheet1!$J$5:$L$192,2,TRUE)</f>
        <v>.~|(</v>
      </c>
      <c r="R469" s="39">
        <f>FLOOR(VLOOKUP($D469,Sheet1!$M$5:$O$192,3,TRUE),1)</f>
        <v>26</v>
      </c>
      <c r="S469" s="44" t="str">
        <f>VLOOKUP($D469,Sheet1!$M$5:$O$192,2,TRUE)</f>
        <v>.~|(</v>
      </c>
      <c r="T469" s="113" t="str">
        <f>IF(ABS(D469-VLOOKUP($D469,Sheet1!$M$5:$T$192,8,TRUE))&lt;10^-10,"SoCA",D469-VLOOKUP($D469,Sheet1!$M$5:$T$192,8,TRUE))</f>
        <v>SoCA</v>
      </c>
      <c r="U469" s="118" t="str">
        <f>IF(VLOOKUP($D469,Sheet1!$M$5:$U$192,9,TRUE)=0,"",IF(ABS(D469-VLOOKUP($D469,Sheet1!$M$5:$U$192,9,TRUE))&lt;10^-10,"Alt.",D469-VLOOKUP($D469,Sheet1!$M$5:$U$192,9,TRUE)))</f>
        <v/>
      </c>
      <c r="V469" s="136">
        <f>$D469-Sheet1!$M$3*$R469</f>
        <v>9.0812535116011617E-2</v>
      </c>
      <c r="Z469" s="6"/>
      <c r="AA469" s="61"/>
    </row>
    <row r="470" spans="1:27" ht="13.5">
      <c r="A470" s="40" t="s">
        <v>412</v>
      </c>
      <c r="B470" s="40">
        <f>2^6*7^2</f>
        <v>3136</v>
      </c>
      <c r="C470" s="40">
        <f>3^5*13</f>
        <v>3159</v>
      </c>
      <c r="D470" s="13">
        <f t="shared" si="11"/>
        <v>12.650853157998011</v>
      </c>
      <c r="E470" s="61">
        <v>13</v>
      </c>
      <c r="F470" s="65">
        <v>32.871084476548432</v>
      </c>
      <c r="G470" s="6">
        <v>261</v>
      </c>
      <c r="H470" s="6">
        <v>249</v>
      </c>
      <c r="I470" s="65">
        <v>4.22104088149469</v>
      </c>
      <c r="J470" s="6">
        <f>VLOOKUP($D470,Sheet1!$A$5:$C$192,3,TRUE)</f>
        <v>2</v>
      </c>
      <c r="K470" s="42" t="str">
        <f>VLOOKUP($D470,Sheet1!$A$5:$C$192,2,TRUE)</f>
        <v>)|(</v>
      </c>
      <c r="L470" s="6">
        <f>FLOOR(VLOOKUP($D470,Sheet1!$D$5:$F$192,3,TRUE),1)</f>
        <v>5</v>
      </c>
      <c r="M470" s="42" t="str">
        <f>VLOOKUP($D470,Sheet1!$D$5:$F$192,2,TRUE)</f>
        <v>)~|</v>
      </c>
      <c r="N470" s="23">
        <f>FLOOR(VLOOKUP($D470,Sheet1!$G$5:$I$192,3,TRUE),1)</f>
        <v>6</v>
      </c>
      <c r="O470" s="42" t="str">
        <f>VLOOKUP($D470,Sheet1!$G$5:$I$192,2,TRUE)</f>
        <v>.~|(</v>
      </c>
      <c r="P470" s="23">
        <v>1</v>
      </c>
      <c r="Q470" s="43" t="str">
        <f>VLOOKUP($D470,Sheet1!$J$5:$L$192,2,TRUE)</f>
        <v>.~|(</v>
      </c>
      <c r="R470" s="40">
        <f>FLOOR(VLOOKUP($D470,Sheet1!$M$5:$O$192,3,TRUE),1)</f>
        <v>26</v>
      </c>
      <c r="S470" s="46" t="str">
        <f>VLOOKUP($D470,Sheet1!$M$5:$O$192,2,TRUE)</f>
        <v>)~|'</v>
      </c>
      <c r="T470" s="115">
        <f>IF(ABS(D470-VLOOKUP($D470,Sheet1!$M$5:$T$192,8,TRUE))&lt;10^-10,"SoCA",D470-VLOOKUP($D470,Sheet1!$M$5:$T$192,8,TRUE))</f>
        <v>0.16373939533548487</v>
      </c>
      <c r="U470" s="115">
        <f>IF(VLOOKUP($D470,Sheet1!$M$5:$U$192,9,TRUE)=0,"",IF(ABS(D470-VLOOKUP($D470,Sheet1!$M$5:$U$192,9,TRUE))&lt;10^-10,"Alt.",D470-VLOOKUP($D470,Sheet1!$M$5:$U$192,9,TRUE)))</f>
        <v>0.1906996905379188</v>
      </c>
      <c r="V470" s="132">
        <f>$D470-Sheet1!$M$3*$R470</f>
        <v>-3.502734629602422E-2</v>
      </c>
      <c r="Z470" s="6"/>
      <c r="AA470" s="61"/>
    </row>
    <row r="471" spans="1:27" ht="13.5">
      <c r="A471" s="21" t="s">
        <v>954</v>
      </c>
      <c r="B471" s="21">
        <f>3^7*7*17</f>
        <v>260253</v>
      </c>
      <c r="C471" s="21">
        <f>2^18</f>
        <v>262144</v>
      </c>
      <c r="D471" s="13">
        <f t="shared" si="11"/>
        <v>12.533677972755704</v>
      </c>
      <c r="E471" s="61">
        <v>17</v>
      </c>
      <c r="F471" s="65">
        <v>36.718606526516425</v>
      </c>
      <c r="G471" s="6">
        <v>635</v>
      </c>
      <c r="H471" s="6">
        <v>802</v>
      </c>
      <c r="I471" s="65">
        <v>-7.7717442154574989</v>
      </c>
      <c r="J471" s="6">
        <f>VLOOKUP($D471,Sheet1!$A$5:$C$192,3,TRUE)</f>
        <v>2</v>
      </c>
      <c r="K471" s="42" t="str">
        <f>VLOOKUP($D471,Sheet1!$A$5:$C$192,2,TRUE)</f>
        <v>)|(</v>
      </c>
      <c r="L471" s="6">
        <f>FLOOR(VLOOKUP($D471,Sheet1!$D$5:$F$192,3,TRUE),1)</f>
        <v>5</v>
      </c>
      <c r="M471" s="42" t="str">
        <f>VLOOKUP($D471,Sheet1!$D$5:$F$192,2,TRUE)</f>
        <v>)~|</v>
      </c>
      <c r="N471" s="23">
        <f>FLOOR(VLOOKUP($D471,Sheet1!$G$5:$I$192,3,TRUE),1)</f>
        <v>6</v>
      </c>
      <c r="O471" s="42" t="str">
        <f>VLOOKUP($D471,Sheet1!$G$5:$I$192,2,TRUE)</f>
        <v>.~|(</v>
      </c>
      <c r="P471" s="23">
        <v>1</v>
      </c>
      <c r="Q471" s="43" t="str">
        <f>VLOOKUP($D471,Sheet1!$J$5:$L$192,2,TRUE)</f>
        <v>.~|(</v>
      </c>
      <c r="R471" s="129">
        <f>FLOOR(VLOOKUP($D471,Sheet1!$M$5:$O$192,3,TRUE),1)</f>
        <v>26</v>
      </c>
      <c r="S471" s="43" t="str">
        <f>VLOOKUP($D471,Sheet1!$M$5:$O$192,2,TRUE)</f>
        <v>)~|'</v>
      </c>
      <c r="T471" s="117">
        <f>IF(ABS(D471-VLOOKUP($D471,Sheet1!$M$5:$T$192,8,TRUE))&lt;10^-10,"SoCA",D471-VLOOKUP($D471,Sheet1!$M$5:$T$192,8,TRUE))</f>
        <v>4.656421009317846E-2</v>
      </c>
      <c r="U471" s="117">
        <f>IF(VLOOKUP($D471,Sheet1!$M$5:$U$192,9,TRUE)=0,"",IF(ABS(D471-VLOOKUP($D471,Sheet1!$M$5:$U$192,9,TRUE))&lt;10^-10,"Alt.",D471-VLOOKUP($D471,Sheet1!$M$5:$U$192,9,TRUE)))</f>
        <v>7.3524505295612386E-2</v>
      </c>
      <c r="V471" s="132">
        <f>$D471-Sheet1!$M$3*$R471</f>
        <v>-0.15220253153833063</v>
      </c>
      <c r="Z471" s="6"/>
      <c r="AA471" s="61"/>
    </row>
    <row r="472" spans="1:27" ht="13.5">
      <c r="A472" t="s">
        <v>1438</v>
      </c>
      <c r="B472">
        <v>1048576</v>
      </c>
      <c r="C472">
        <v>1056321</v>
      </c>
      <c r="D472" s="13">
        <f t="shared" si="11"/>
        <v>12.740260660639716</v>
      </c>
      <c r="E472" s="61">
        <v>23</v>
      </c>
      <c r="F472" s="65">
        <v>45.873410425830656</v>
      </c>
      <c r="G472" s="6">
        <v>1353</v>
      </c>
      <c r="H472" s="6">
        <v>1287</v>
      </c>
      <c r="I472" s="65">
        <v>7.2155357358277747</v>
      </c>
      <c r="J472" s="6">
        <f>VLOOKUP($D472,Sheet1!$A$5:$C$192,3,TRUE)</f>
        <v>2</v>
      </c>
      <c r="K472" s="42" t="str">
        <f>VLOOKUP($D472,Sheet1!$A$5:$C$192,2,TRUE)</f>
        <v>)|(</v>
      </c>
      <c r="L472" s="6">
        <f>FLOOR(VLOOKUP($D472,Sheet1!$D$5:$F$192,3,TRUE),1)</f>
        <v>5</v>
      </c>
      <c r="M472" s="42" t="str">
        <f>VLOOKUP($D472,Sheet1!$D$5:$F$192,2,TRUE)</f>
        <v>)~|</v>
      </c>
      <c r="N472" s="23">
        <f>FLOOR(VLOOKUP($D472,Sheet1!$G$5:$I$192,3,TRUE),1)</f>
        <v>6</v>
      </c>
      <c r="O472" s="42" t="str">
        <f>VLOOKUP($D472,Sheet1!$G$5:$I$192,2,TRUE)</f>
        <v>.~|(</v>
      </c>
      <c r="P472" s="23">
        <v>1</v>
      </c>
      <c r="Q472" s="43" t="str">
        <f>VLOOKUP($D472,Sheet1!$J$5:$L$192,2,TRUE)</f>
        <v>.~|(</v>
      </c>
      <c r="R472" s="23">
        <f>FLOOR(VLOOKUP($D472,Sheet1!$M$5:$O$192,3,TRUE),1)</f>
        <v>26</v>
      </c>
      <c r="S472" s="42" t="str">
        <f>VLOOKUP($D472,Sheet1!$M$5:$O$192,2,TRUE)</f>
        <v>.~|(</v>
      </c>
      <c r="T472" s="117">
        <f>IF(ABS(D472-VLOOKUP($D472,Sheet1!$M$5:$T$192,8,TRUE))&lt;10^-10,"SoCA",D472-VLOOKUP($D472,Sheet1!$M$5:$T$192,8,TRUE))</f>
        <v>-3.6432378770502538E-2</v>
      </c>
      <c r="U472" s="109" t="str">
        <f>IF(VLOOKUP($D472,Sheet1!$M$5:$U$192,9,TRUE)=0,"",IF(ABS(D472-VLOOKUP($D472,Sheet1!$M$5:$U$192,9,TRUE))&lt;10^-10,"Alt.",D472-VLOOKUP($D472,Sheet1!$M$5:$U$192,9,TRUE)))</f>
        <v/>
      </c>
      <c r="V472" s="132">
        <f>$D472-Sheet1!$M$3*$R472</f>
        <v>5.4380156345681385E-2</v>
      </c>
      <c r="Z472" s="6"/>
      <c r="AA472" s="61"/>
    </row>
    <row r="473" spans="1:27" ht="13.5">
      <c r="A473" s="6" t="s">
        <v>908</v>
      </c>
      <c r="B473" s="6">
        <f>3*7*11^2</f>
        <v>2541</v>
      </c>
      <c r="C473" s="6">
        <f>2^9*5</f>
        <v>2560</v>
      </c>
      <c r="D473" s="13">
        <f t="shared" si="11"/>
        <v>12.896921800809158</v>
      </c>
      <c r="E473" s="61">
        <v>11</v>
      </c>
      <c r="F473" s="65">
        <v>47.654123328819978</v>
      </c>
      <c r="G473" s="6">
        <v>814</v>
      </c>
      <c r="H473" s="6">
        <v>756</v>
      </c>
      <c r="I473" s="65">
        <v>-1.794110461320066</v>
      </c>
      <c r="J473" s="6">
        <f>VLOOKUP($D473,Sheet1!$A$5:$C$192,3,TRUE)</f>
        <v>2</v>
      </c>
      <c r="K473" s="42" t="str">
        <f>VLOOKUP($D473,Sheet1!$A$5:$C$192,2,TRUE)</f>
        <v>)|(</v>
      </c>
      <c r="L473" s="6">
        <f>FLOOR(VLOOKUP($D473,Sheet1!$D$5:$F$192,3,TRUE),1)</f>
        <v>5</v>
      </c>
      <c r="M473" s="42" t="str">
        <f>VLOOKUP($D473,Sheet1!$D$5:$F$192,2,TRUE)</f>
        <v>)~|</v>
      </c>
      <c r="N473" s="23">
        <f>FLOOR(VLOOKUP($D473,Sheet1!$G$5:$I$192,3,TRUE),1)</f>
        <v>6</v>
      </c>
      <c r="O473" s="42" t="str">
        <f>VLOOKUP($D473,Sheet1!$G$5:$I$192,2,TRUE)</f>
        <v>.~|(</v>
      </c>
      <c r="P473" s="23">
        <v>1</v>
      </c>
      <c r="Q473" s="43" t="str">
        <f>VLOOKUP($D473,Sheet1!$J$5:$L$192,2,TRUE)</f>
        <v>.~|(</v>
      </c>
      <c r="R473" s="23">
        <f>FLOOR(VLOOKUP($D473,Sheet1!$M$5:$O$192,3,TRUE),1)</f>
        <v>26</v>
      </c>
      <c r="S473" s="42" t="str">
        <f>VLOOKUP($D473,Sheet1!$M$5:$O$192,2,TRUE)</f>
        <v>.~|(</v>
      </c>
      <c r="T473" s="117">
        <f>IF(ABS(D473-VLOOKUP($D473,Sheet1!$M$5:$T$192,8,TRUE))&lt;10^-10,"SoCA",D473-VLOOKUP($D473,Sheet1!$M$5:$T$192,8,TRUE))</f>
        <v>0.12022876139893945</v>
      </c>
      <c r="U473" s="109" t="str">
        <f>IF(VLOOKUP($D473,Sheet1!$M$5:$U$192,9,TRUE)=0,"",IF(ABS(D473-VLOOKUP($D473,Sheet1!$M$5:$U$192,9,TRUE))&lt;10^-10,"Alt.",D473-VLOOKUP($D473,Sheet1!$M$5:$U$192,9,TRUE)))</f>
        <v/>
      </c>
      <c r="V473" s="132">
        <f>$D473-Sheet1!$M$3*$R473</f>
        <v>0.21104129651512338</v>
      </c>
      <c r="Z473" s="6"/>
      <c r="AA473" s="61"/>
    </row>
    <row r="474" spans="1:27" ht="13.5">
      <c r="A474" t="s">
        <v>1149</v>
      </c>
      <c r="B474">
        <v>655360</v>
      </c>
      <c r="C474">
        <v>660231</v>
      </c>
      <c r="D474" s="13">
        <f t="shared" si="11"/>
        <v>12.819910728472315</v>
      </c>
      <c r="E474" s="61">
        <v>19</v>
      </c>
      <c r="F474" s="65">
        <v>67.745843017741578</v>
      </c>
      <c r="G474" s="6">
        <v>1052</v>
      </c>
      <c r="H474" s="6">
        <v>998</v>
      </c>
      <c r="I474" s="65">
        <v>4.2106313909703257</v>
      </c>
      <c r="J474" s="6">
        <f>VLOOKUP($D474,Sheet1!$A$5:$C$192,3,TRUE)</f>
        <v>2</v>
      </c>
      <c r="K474" s="42" t="str">
        <f>VLOOKUP($D474,Sheet1!$A$5:$C$192,2,TRUE)</f>
        <v>)|(</v>
      </c>
      <c r="L474" s="6">
        <f>FLOOR(VLOOKUP($D474,Sheet1!$D$5:$F$192,3,TRUE),1)</f>
        <v>5</v>
      </c>
      <c r="M474" s="42" t="str">
        <f>VLOOKUP($D474,Sheet1!$D$5:$F$192,2,TRUE)</f>
        <v>)~|</v>
      </c>
      <c r="N474" s="23">
        <f>FLOOR(VLOOKUP($D474,Sheet1!$G$5:$I$192,3,TRUE),1)</f>
        <v>6</v>
      </c>
      <c r="O474" s="42" t="str">
        <f>VLOOKUP($D474,Sheet1!$G$5:$I$192,2,TRUE)</f>
        <v>.~|(</v>
      </c>
      <c r="P474" s="23">
        <v>1</v>
      </c>
      <c r="Q474" s="43" t="str">
        <f>VLOOKUP($D474,Sheet1!$J$5:$L$192,2,TRUE)</f>
        <v>.~|(</v>
      </c>
      <c r="R474" s="23">
        <f>FLOOR(VLOOKUP($D474,Sheet1!$M$5:$O$192,3,TRUE),1)</f>
        <v>26</v>
      </c>
      <c r="S474" s="42" t="str">
        <f>VLOOKUP($D474,Sheet1!$M$5:$O$192,2,TRUE)</f>
        <v>.~|(</v>
      </c>
      <c r="T474" s="117">
        <f>IF(ABS(D474-VLOOKUP($D474,Sheet1!$M$5:$T$192,8,TRUE))&lt;10^-10,"SoCA",D474-VLOOKUP($D474,Sheet1!$M$5:$T$192,8,TRUE))</f>
        <v>4.3217689062096554E-2</v>
      </c>
      <c r="U474" s="109" t="str">
        <f>IF(VLOOKUP($D474,Sheet1!$M$5:$U$192,9,TRUE)=0,"",IF(ABS(D474-VLOOKUP($D474,Sheet1!$M$5:$U$192,9,TRUE))&lt;10^-10,"Alt.",D474-VLOOKUP($D474,Sheet1!$M$5:$U$192,9,TRUE)))</f>
        <v/>
      </c>
      <c r="V474" s="132">
        <f>$D474-Sheet1!$M$3*$R474</f>
        <v>0.13403022417828048</v>
      </c>
      <c r="Z474" s="6"/>
      <c r="AA474" s="61"/>
    </row>
    <row r="475" spans="1:27" ht="13.5">
      <c r="A475" t="s">
        <v>458</v>
      </c>
      <c r="B475">
        <v>134</v>
      </c>
      <c r="C475">
        <v>135</v>
      </c>
      <c r="D475" s="13">
        <f t="shared" si="11"/>
        <v>12.871687911669996</v>
      </c>
      <c r="E475" s="61" t="s">
        <v>1931</v>
      </c>
      <c r="F475" s="65">
        <v>72.150014653630123</v>
      </c>
      <c r="G475" s="6">
        <v>334</v>
      </c>
      <c r="H475" s="6">
        <v>296</v>
      </c>
      <c r="I475" s="65">
        <v>2.2074432811662956</v>
      </c>
      <c r="J475" s="6">
        <f>VLOOKUP($D475,Sheet1!$A$5:$C$192,3,TRUE)</f>
        <v>2</v>
      </c>
      <c r="K475" s="42" t="str">
        <f>VLOOKUP($D475,Sheet1!$A$5:$C$192,2,TRUE)</f>
        <v>)|(</v>
      </c>
      <c r="L475" s="6">
        <f>FLOOR(VLOOKUP($D475,Sheet1!$D$5:$F$192,3,TRUE),1)</f>
        <v>5</v>
      </c>
      <c r="M475" s="42" t="str">
        <f>VLOOKUP($D475,Sheet1!$D$5:$F$192,2,TRUE)</f>
        <v>)~|</v>
      </c>
      <c r="N475" s="23">
        <f>FLOOR(VLOOKUP($D475,Sheet1!$G$5:$I$192,3,TRUE),1)</f>
        <v>6</v>
      </c>
      <c r="O475" s="42" t="str">
        <f>VLOOKUP($D475,Sheet1!$G$5:$I$192,2,TRUE)</f>
        <v>.~|(</v>
      </c>
      <c r="P475" s="23">
        <v>1</v>
      </c>
      <c r="Q475" s="43" t="str">
        <f>VLOOKUP($D475,Sheet1!$J$5:$L$192,2,TRUE)</f>
        <v>.~|(</v>
      </c>
      <c r="R475" s="23">
        <f>FLOOR(VLOOKUP($D475,Sheet1!$M$5:$O$192,3,TRUE),1)</f>
        <v>26</v>
      </c>
      <c r="S475" s="42" t="str">
        <f>VLOOKUP($D475,Sheet1!$M$5:$O$192,2,TRUE)</f>
        <v>.~|(</v>
      </c>
      <c r="T475" s="117">
        <f>IF(ABS(D475-VLOOKUP($D475,Sheet1!$M$5:$T$192,8,TRUE))&lt;10^-10,"SoCA",D475-VLOOKUP($D475,Sheet1!$M$5:$T$192,8,TRUE))</f>
        <v>9.4994872259777097E-2</v>
      </c>
      <c r="U475" s="109" t="str">
        <f>IF(VLOOKUP($D475,Sheet1!$M$5:$U$192,9,TRUE)=0,"",IF(ABS(D475-VLOOKUP($D475,Sheet1!$M$5:$U$192,9,TRUE))&lt;10^-10,"Alt.",D475-VLOOKUP($D475,Sheet1!$M$5:$U$192,9,TRUE)))</f>
        <v/>
      </c>
      <c r="V475" s="132">
        <f>$D475-Sheet1!$M$3*$R475</f>
        <v>0.18580740737596102</v>
      </c>
      <c r="Z475" s="6"/>
      <c r="AA475" s="61"/>
    </row>
    <row r="476" spans="1:27" ht="13.5">
      <c r="A476" s="6" t="s">
        <v>1857</v>
      </c>
      <c r="B476">
        <v>59049</v>
      </c>
      <c r="C476">
        <v>59488</v>
      </c>
      <c r="D476" s="13">
        <f t="shared" si="11"/>
        <v>12.823257249503675</v>
      </c>
      <c r="E476" s="61">
        <v>13</v>
      </c>
      <c r="F476" s="65">
        <v>87.473707796161591</v>
      </c>
      <c r="G476" s="59">
        <v>1689</v>
      </c>
      <c r="H476" s="63">
        <v>1000062</v>
      </c>
      <c r="I476" s="65">
        <v>-10.789574666521615</v>
      </c>
      <c r="J476" s="6">
        <f>VLOOKUP($D476,Sheet1!$A$5:$C$192,3,TRUE)</f>
        <v>2</v>
      </c>
      <c r="K476" s="42" t="str">
        <f>VLOOKUP($D476,Sheet1!$A$5:$C$192,2,TRUE)</f>
        <v>)|(</v>
      </c>
      <c r="L476" s="6">
        <f>FLOOR(VLOOKUP($D476,Sheet1!$D$5:$F$192,3,TRUE),1)</f>
        <v>5</v>
      </c>
      <c r="M476" s="42" t="str">
        <f>VLOOKUP($D476,Sheet1!$D$5:$F$192,2,TRUE)</f>
        <v>)~|</v>
      </c>
      <c r="N476" s="23">
        <f>FLOOR(VLOOKUP($D476,Sheet1!$G$5:$I$192,3,TRUE),1)</f>
        <v>6</v>
      </c>
      <c r="O476" s="42" t="str">
        <f>VLOOKUP($D476,Sheet1!$G$5:$I$192,2,TRUE)</f>
        <v>.~|(</v>
      </c>
      <c r="P476" s="23">
        <v>1</v>
      </c>
      <c r="Q476" s="43" t="str">
        <f>VLOOKUP($D476,Sheet1!$J$5:$L$192,2,TRUE)</f>
        <v>.~|(</v>
      </c>
      <c r="R476" s="23">
        <f>FLOOR(VLOOKUP($D476,Sheet1!$M$5:$O$192,3,TRUE),1)</f>
        <v>26</v>
      </c>
      <c r="S476" s="42" t="str">
        <f>VLOOKUP($D476,Sheet1!$M$5:$O$192,2,TRUE)</f>
        <v>.~|(</v>
      </c>
      <c r="T476" s="117">
        <f>IF(ABS(D476-VLOOKUP($D476,Sheet1!$M$5:$T$192,8,TRUE))&lt;10^-10,"SoCA",D476-VLOOKUP($D476,Sheet1!$M$5:$T$192,8,TRUE))</f>
        <v>4.6564210093455571E-2</v>
      </c>
      <c r="U476" s="109" t="str">
        <f>IF(VLOOKUP($D476,Sheet1!$M$5:$U$192,9,TRUE)=0,"",IF(ABS(D476-VLOOKUP($D476,Sheet1!$M$5:$U$192,9,TRUE))&lt;10^-10,"Alt.",D476-VLOOKUP($D476,Sheet1!$M$5:$U$192,9,TRUE)))</f>
        <v/>
      </c>
      <c r="V476" s="132">
        <f>$D476-Sheet1!$M$3*$R476</f>
        <v>0.13737674520963949</v>
      </c>
      <c r="Z476" s="6"/>
      <c r="AA476" s="61"/>
    </row>
    <row r="477" spans="1:27" ht="13.5">
      <c r="A477" t="s">
        <v>1245</v>
      </c>
      <c r="B477">
        <v>72171</v>
      </c>
      <c r="C477">
        <v>72704</v>
      </c>
      <c r="D477" s="13">
        <f t="shared" si="11"/>
        <v>12.738594117762318</v>
      </c>
      <c r="E477" s="61" t="s">
        <v>1931</v>
      </c>
      <c r="F477" s="65">
        <v>90.529225093376141</v>
      </c>
      <c r="G477" s="6">
        <v>876</v>
      </c>
      <c r="H477" s="6">
        <v>1094</v>
      </c>
      <c r="I477" s="65">
        <v>-8.7843616490557181</v>
      </c>
      <c r="J477" s="6">
        <f>VLOOKUP($D477,Sheet1!$A$5:$C$192,3,TRUE)</f>
        <v>2</v>
      </c>
      <c r="K477" s="42" t="str">
        <f>VLOOKUP($D477,Sheet1!$A$5:$C$192,2,TRUE)</f>
        <v>)|(</v>
      </c>
      <c r="L477" s="6">
        <f>FLOOR(VLOOKUP($D477,Sheet1!$D$5:$F$192,3,TRUE),1)</f>
        <v>5</v>
      </c>
      <c r="M477" s="42" t="str">
        <f>VLOOKUP($D477,Sheet1!$D$5:$F$192,2,TRUE)</f>
        <v>)~|</v>
      </c>
      <c r="N477" s="23">
        <f>FLOOR(VLOOKUP($D477,Sheet1!$G$5:$I$192,3,TRUE),1)</f>
        <v>6</v>
      </c>
      <c r="O477" s="42" t="str">
        <f>VLOOKUP($D477,Sheet1!$G$5:$I$192,2,TRUE)</f>
        <v>.~|(</v>
      </c>
      <c r="P477" s="23">
        <v>1</v>
      </c>
      <c r="Q477" s="43" t="str">
        <f>VLOOKUP($D477,Sheet1!$J$5:$L$192,2,TRUE)</f>
        <v>.~|(</v>
      </c>
      <c r="R477" s="23">
        <f>FLOOR(VLOOKUP($D477,Sheet1!$M$5:$O$192,3,TRUE),1)</f>
        <v>26</v>
      </c>
      <c r="S477" s="42" t="str">
        <f>VLOOKUP($D477,Sheet1!$M$5:$O$192,2,TRUE)</f>
        <v>.~|(</v>
      </c>
      <c r="T477" s="117">
        <f>IF(ABS(D477-VLOOKUP($D477,Sheet1!$M$5:$T$192,8,TRUE))&lt;10^-10,"SoCA",D477-VLOOKUP($D477,Sheet1!$M$5:$T$192,8,TRUE))</f>
        <v>-3.8098921647900852E-2</v>
      </c>
      <c r="U477" s="109" t="str">
        <f>IF(VLOOKUP($D477,Sheet1!$M$5:$U$192,9,TRUE)=0,"",IF(ABS(D477-VLOOKUP($D477,Sheet1!$M$5:$U$192,9,TRUE))&lt;10^-10,"Alt.",D477-VLOOKUP($D477,Sheet1!$M$5:$U$192,9,TRUE)))</f>
        <v/>
      </c>
      <c r="V477" s="132">
        <f>$D477-Sheet1!$M$3*$R477</f>
        <v>5.2713613468283071E-2</v>
      </c>
      <c r="Z477" s="6"/>
      <c r="AA477" s="61"/>
    </row>
    <row r="478" spans="1:27" ht="13.5">
      <c r="A478" s="6" t="s">
        <v>1835</v>
      </c>
      <c r="B478">
        <v>2637824</v>
      </c>
      <c r="C478">
        <v>2657205</v>
      </c>
      <c r="D478" s="13">
        <f t="shared" si="11"/>
        <v>12.673470511943407</v>
      </c>
      <c r="E478" s="61">
        <v>23</v>
      </c>
      <c r="F478" s="65">
        <v>106.63842913901777</v>
      </c>
      <c r="G478" s="59">
        <v>1611</v>
      </c>
      <c r="H478" s="63">
        <v>1000040</v>
      </c>
      <c r="I478" s="65">
        <v>11.219648248612765</v>
      </c>
      <c r="J478" s="6">
        <f>VLOOKUP($D478,Sheet1!$A$5:$C$192,3,TRUE)</f>
        <v>2</v>
      </c>
      <c r="K478" s="42" t="str">
        <f>VLOOKUP($D478,Sheet1!$A$5:$C$192,2,TRUE)</f>
        <v>)|(</v>
      </c>
      <c r="L478" s="6">
        <f>FLOOR(VLOOKUP($D478,Sheet1!$D$5:$F$192,3,TRUE),1)</f>
        <v>5</v>
      </c>
      <c r="M478" s="42" t="str">
        <f>VLOOKUP($D478,Sheet1!$D$5:$F$192,2,TRUE)</f>
        <v>)~|</v>
      </c>
      <c r="N478" s="23">
        <f>FLOOR(VLOOKUP($D478,Sheet1!$G$5:$I$192,3,TRUE),1)</f>
        <v>6</v>
      </c>
      <c r="O478" s="42" t="str">
        <f>VLOOKUP($D478,Sheet1!$G$5:$I$192,2,TRUE)</f>
        <v>.~|(</v>
      </c>
      <c r="P478" s="23">
        <v>1</v>
      </c>
      <c r="Q478" s="43" t="str">
        <f>VLOOKUP($D478,Sheet1!$J$5:$L$192,2,TRUE)</f>
        <v>.~|(</v>
      </c>
      <c r="R478" s="23">
        <f>FLOOR(VLOOKUP($D478,Sheet1!$M$5:$O$192,3,TRUE),1)</f>
        <v>26</v>
      </c>
      <c r="S478" s="42" t="str">
        <f>VLOOKUP($D478,Sheet1!$M$5:$O$192,2,TRUE)</f>
        <v>)~|'</v>
      </c>
      <c r="T478" s="117">
        <f>IF(ABS(D478-VLOOKUP($D478,Sheet1!$M$5:$T$192,8,TRUE))&lt;10^-10,"SoCA",D478-VLOOKUP($D478,Sheet1!$M$5:$T$192,8,TRUE))</f>
        <v>0.18635674928088086</v>
      </c>
      <c r="U478" s="109">
        <f>IF(VLOOKUP($D478,Sheet1!$M$5:$U$192,9,TRUE)=0,"",IF(ABS(D478-VLOOKUP($D478,Sheet1!$M$5:$U$192,9,TRUE))&lt;10^-10,"Alt.",D478-VLOOKUP($D478,Sheet1!$M$5:$U$192,9,TRUE)))</f>
        <v>0.21331704448331479</v>
      </c>
      <c r="V478" s="132">
        <f>$D478-Sheet1!$M$3*$R478</f>
        <v>-1.2409992350628229E-2</v>
      </c>
      <c r="Z478" s="6"/>
      <c r="AA478" s="61"/>
    </row>
    <row r="479" spans="1:27" ht="13.5">
      <c r="A479" t="s">
        <v>548</v>
      </c>
      <c r="B479">
        <v>137</v>
      </c>
      <c r="C479">
        <v>138</v>
      </c>
      <c r="D479" s="13">
        <f t="shared" si="11"/>
        <v>12.590848581170983</v>
      </c>
      <c r="E479" s="61" t="s">
        <v>1931</v>
      </c>
      <c r="F479" s="65">
        <v>160.04452665151348</v>
      </c>
      <c r="G479" s="6">
        <v>439</v>
      </c>
      <c r="H479" s="6">
        <v>392</v>
      </c>
      <c r="I479" s="65">
        <v>0.22473558189850584</v>
      </c>
      <c r="J479" s="6">
        <f>VLOOKUP($D479,Sheet1!$A$5:$C$192,3,TRUE)</f>
        <v>2</v>
      </c>
      <c r="K479" s="42" t="str">
        <f>VLOOKUP($D479,Sheet1!$A$5:$C$192,2,TRUE)</f>
        <v>)|(</v>
      </c>
      <c r="L479" s="6">
        <f>FLOOR(VLOOKUP($D479,Sheet1!$D$5:$F$192,3,TRUE),1)</f>
        <v>5</v>
      </c>
      <c r="M479" s="42" t="str">
        <f>VLOOKUP($D479,Sheet1!$D$5:$F$192,2,TRUE)</f>
        <v>)~|</v>
      </c>
      <c r="N479" s="23">
        <f>FLOOR(VLOOKUP($D479,Sheet1!$G$5:$I$192,3,TRUE),1)</f>
        <v>6</v>
      </c>
      <c r="O479" s="42" t="str">
        <f>VLOOKUP($D479,Sheet1!$G$5:$I$192,2,TRUE)</f>
        <v>.~|(</v>
      </c>
      <c r="P479" s="23">
        <v>1</v>
      </c>
      <c r="Q479" s="43" t="str">
        <f>VLOOKUP($D479,Sheet1!$J$5:$L$192,2,TRUE)</f>
        <v>.~|(</v>
      </c>
      <c r="R479" s="23">
        <f>FLOOR(VLOOKUP($D479,Sheet1!$M$5:$O$192,3,TRUE),1)</f>
        <v>26</v>
      </c>
      <c r="S479" s="42" t="str">
        <f>VLOOKUP($D479,Sheet1!$M$5:$O$192,2,TRUE)</f>
        <v>)~|'</v>
      </c>
      <c r="T479" s="117">
        <f>IF(ABS(D479-VLOOKUP($D479,Sheet1!$M$5:$T$192,8,TRUE))&lt;10^-10,"SoCA",D479-VLOOKUP($D479,Sheet1!$M$5:$T$192,8,TRUE))</f>
        <v>0.10373481850845678</v>
      </c>
      <c r="U479" s="109">
        <f>IF(VLOOKUP($D479,Sheet1!$M$5:$U$192,9,TRUE)=0,"",IF(ABS(D479-VLOOKUP($D479,Sheet1!$M$5:$U$192,9,TRUE))&lt;10^-10,"Alt.",D479-VLOOKUP($D479,Sheet1!$M$5:$U$192,9,TRUE)))</f>
        <v>0.13069511371089071</v>
      </c>
      <c r="V479" s="132">
        <f>$D479-Sheet1!$M$3*$R479</f>
        <v>-9.5031923123052309E-2</v>
      </c>
      <c r="Z479" s="6"/>
      <c r="AA479" s="61"/>
    </row>
    <row r="480" spans="1:27" ht="13.5">
      <c r="A480" t="s">
        <v>1539</v>
      </c>
      <c r="B480">
        <v>2129920</v>
      </c>
      <c r="C480">
        <v>2145447</v>
      </c>
      <c r="D480" s="13">
        <f t="shared" si="11"/>
        <v>12.574821886653076</v>
      </c>
      <c r="E480" s="61" t="s">
        <v>1931</v>
      </c>
      <c r="F480" s="65">
        <v>163.2912177617722</v>
      </c>
      <c r="G480" s="6">
        <v>1443</v>
      </c>
      <c r="H480" s="6">
        <v>1388</v>
      </c>
      <c r="I480" s="65">
        <v>8.2257224038684011</v>
      </c>
      <c r="J480" s="6">
        <f>VLOOKUP($D480,Sheet1!$A$5:$C$192,3,TRUE)</f>
        <v>2</v>
      </c>
      <c r="K480" s="42" t="str">
        <f>VLOOKUP($D480,Sheet1!$A$5:$C$192,2,TRUE)</f>
        <v>)|(</v>
      </c>
      <c r="L480" s="6">
        <f>FLOOR(VLOOKUP($D480,Sheet1!$D$5:$F$192,3,TRUE),1)</f>
        <v>5</v>
      </c>
      <c r="M480" s="42" t="str">
        <f>VLOOKUP($D480,Sheet1!$D$5:$F$192,2,TRUE)</f>
        <v>)~|</v>
      </c>
      <c r="N480" s="23">
        <f>FLOOR(VLOOKUP($D480,Sheet1!$G$5:$I$192,3,TRUE),1)</f>
        <v>6</v>
      </c>
      <c r="O480" s="42" t="str">
        <f>VLOOKUP($D480,Sheet1!$G$5:$I$192,2,TRUE)</f>
        <v>.~|(</v>
      </c>
      <c r="P480" s="23">
        <v>1</v>
      </c>
      <c r="Q480" s="43" t="str">
        <f>VLOOKUP($D480,Sheet1!$J$5:$L$192,2,TRUE)</f>
        <v>.~|(</v>
      </c>
      <c r="R480" s="23">
        <f>FLOOR(VLOOKUP($D480,Sheet1!$M$5:$O$192,3,TRUE),1)</f>
        <v>26</v>
      </c>
      <c r="S480" s="42" t="str">
        <f>VLOOKUP($D480,Sheet1!$M$5:$O$192,2,TRUE)</f>
        <v>)~|'</v>
      </c>
      <c r="T480" s="117">
        <f>IF(ABS(D480-VLOOKUP($D480,Sheet1!$M$5:$T$192,8,TRUE))&lt;10^-10,"SoCA",D480-VLOOKUP($D480,Sheet1!$M$5:$T$192,8,TRUE))</f>
        <v>8.7708123990550391E-2</v>
      </c>
      <c r="U480" s="109">
        <f>IF(VLOOKUP($D480,Sheet1!$M$5:$U$192,9,TRUE)=0,"",IF(ABS(D480-VLOOKUP($D480,Sheet1!$M$5:$U$192,9,TRUE))&lt;10^-10,"Alt.",D480-VLOOKUP($D480,Sheet1!$M$5:$U$192,9,TRUE)))</f>
        <v>0.11466841919298432</v>
      </c>
      <c r="V480" s="132">
        <f>$D480-Sheet1!$M$3*$R480</f>
        <v>-0.1110586176409587</v>
      </c>
      <c r="Z480" s="6"/>
      <c r="AA480" s="61"/>
    </row>
    <row r="481" spans="1:27" ht="13.5">
      <c r="A481" t="s">
        <v>1439</v>
      </c>
      <c r="B481">
        <v>397312</v>
      </c>
      <c r="C481">
        <v>400221</v>
      </c>
      <c r="D481" s="13">
        <f t="shared" si="11"/>
        <v>12.629401374009801</v>
      </c>
      <c r="E481" s="61" t="s">
        <v>1931</v>
      </c>
      <c r="F481" s="65">
        <v>163.68204770515524</v>
      </c>
      <c r="G481" s="6">
        <v>1354</v>
      </c>
      <c r="H481" s="6">
        <v>1288</v>
      </c>
      <c r="I481" s="65">
        <v>7.2223617459879481</v>
      </c>
      <c r="J481" s="6">
        <f>VLOOKUP($D481,Sheet1!$A$5:$C$192,3,TRUE)</f>
        <v>2</v>
      </c>
      <c r="K481" s="42" t="str">
        <f>VLOOKUP($D481,Sheet1!$A$5:$C$192,2,TRUE)</f>
        <v>)|(</v>
      </c>
      <c r="L481" s="6">
        <f>FLOOR(VLOOKUP($D481,Sheet1!$D$5:$F$192,3,TRUE),1)</f>
        <v>5</v>
      </c>
      <c r="M481" s="42" t="str">
        <f>VLOOKUP($D481,Sheet1!$D$5:$F$192,2,TRUE)</f>
        <v>)~|</v>
      </c>
      <c r="N481" s="23">
        <f>FLOOR(VLOOKUP($D481,Sheet1!$G$5:$I$192,3,TRUE),1)</f>
        <v>6</v>
      </c>
      <c r="O481" s="42" t="str">
        <f>VLOOKUP($D481,Sheet1!$G$5:$I$192,2,TRUE)</f>
        <v>.~|(</v>
      </c>
      <c r="P481" s="23">
        <v>1</v>
      </c>
      <c r="Q481" s="43" t="str">
        <f>VLOOKUP($D481,Sheet1!$J$5:$L$192,2,TRUE)</f>
        <v>.~|(</v>
      </c>
      <c r="R481" s="23">
        <f>FLOOR(VLOOKUP($D481,Sheet1!$M$5:$O$192,3,TRUE),1)</f>
        <v>26</v>
      </c>
      <c r="S481" s="42" t="str">
        <f>VLOOKUP($D481,Sheet1!$M$5:$O$192,2,TRUE)</f>
        <v>)~|'</v>
      </c>
      <c r="T481" s="117">
        <f>IF(ABS(D481-VLOOKUP($D481,Sheet1!$M$5:$T$192,8,TRUE))&lt;10^-10,"SoCA",D481-VLOOKUP($D481,Sheet1!$M$5:$T$192,8,TRUE))</f>
        <v>0.14228761134727463</v>
      </c>
      <c r="U481" s="109">
        <f>IF(VLOOKUP($D481,Sheet1!$M$5:$U$192,9,TRUE)=0,"",IF(ABS(D481-VLOOKUP($D481,Sheet1!$M$5:$U$192,9,TRUE))&lt;10^-10,"Alt.",D481-VLOOKUP($D481,Sheet1!$M$5:$U$192,9,TRUE)))</f>
        <v>0.16924790654970856</v>
      </c>
      <c r="V481" s="132">
        <f>$D481-Sheet1!$M$3*$R481</f>
        <v>-5.6479130284234458E-2</v>
      </c>
      <c r="Z481" s="6"/>
      <c r="AA481" s="61"/>
    </row>
    <row r="482" spans="1:27" ht="13.5">
      <c r="A482" t="s">
        <v>1751</v>
      </c>
      <c r="B482">
        <v>13893632</v>
      </c>
      <c r="C482">
        <v>13994613</v>
      </c>
      <c r="D482" s="13">
        <f t="shared" si="11"/>
        <v>12.537361855946198</v>
      </c>
      <c r="E482" s="61" t="s">
        <v>1931</v>
      </c>
      <c r="F482" s="65">
        <v>175.93168042429448</v>
      </c>
      <c r="G482" s="6">
        <v>1649</v>
      </c>
      <c r="H482" s="6">
        <v>1600</v>
      </c>
      <c r="I482" s="65">
        <v>10.228028954433345</v>
      </c>
      <c r="J482" s="6">
        <f>VLOOKUP($D482,Sheet1!$A$5:$C$192,3,TRUE)</f>
        <v>2</v>
      </c>
      <c r="K482" s="42" t="str">
        <f>VLOOKUP($D482,Sheet1!$A$5:$C$192,2,TRUE)</f>
        <v>)|(</v>
      </c>
      <c r="L482" s="6">
        <f>FLOOR(VLOOKUP($D482,Sheet1!$D$5:$F$192,3,TRUE),1)</f>
        <v>5</v>
      </c>
      <c r="M482" s="42" t="str">
        <f>VLOOKUP($D482,Sheet1!$D$5:$F$192,2,TRUE)</f>
        <v>)~|</v>
      </c>
      <c r="N482" s="23">
        <f>FLOOR(VLOOKUP($D482,Sheet1!$G$5:$I$192,3,TRUE),1)</f>
        <v>6</v>
      </c>
      <c r="O482" s="42" t="str">
        <f>VLOOKUP($D482,Sheet1!$G$5:$I$192,2,TRUE)</f>
        <v>.~|(</v>
      </c>
      <c r="P482" s="23">
        <v>1</v>
      </c>
      <c r="Q482" s="43" t="str">
        <f>VLOOKUP($D482,Sheet1!$J$5:$L$192,2,TRUE)</f>
        <v>.~|(</v>
      </c>
      <c r="R482" s="23">
        <f>FLOOR(VLOOKUP($D482,Sheet1!$M$5:$O$192,3,TRUE),1)</f>
        <v>26</v>
      </c>
      <c r="S482" s="42" t="str">
        <f>VLOOKUP($D482,Sheet1!$M$5:$O$192,2,TRUE)</f>
        <v>)~|'</v>
      </c>
      <c r="T482" s="117">
        <f>IF(ABS(D482-VLOOKUP($D482,Sheet1!$M$5:$T$192,8,TRUE))&lt;10^-10,"SoCA",D482-VLOOKUP($D482,Sheet1!$M$5:$T$192,8,TRUE))</f>
        <v>5.0248093283672191E-2</v>
      </c>
      <c r="U482" s="109">
        <f>IF(VLOOKUP($D482,Sheet1!$M$5:$U$192,9,TRUE)=0,"",IF(ABS(D482-VLOOKUP($D482,Sheet1!$M$5:$U$192,9,TRUE))&lt;10^-10,"Alt.",D482-VLOOKUP($D482,Sheet1!$M$5:$U$192,9,TRUE)))</f>
        <v>7.7208388486106116E-2</v>
      </c>
      <c r="V482" s="132">
        <f>$D482-Sheet1!$M$3*$R482</f>
        <v>-0.1485186483478369</v>
      </c>
      <c r="Z482" s="6"/>
      <c r="AA482" s="61"/>
    </row>
    <row r="483" spans="1:27" ht="13.5">
      <c r="A483" t="s">
        <v>1242</v>
      </c>
      <c r="B483">
        <v>204800</v>
      </c>
      <c r="C483">
        <v>206307</v>
      </c>
      <c r="D483" s="13">
        <f t="shared" si="11"/>
        <v>12.692468860913795</v>
      </c>
      <c r="E483" s="61" t="s">
        <v>1931</v>
      </c>
      <c r="F483" s="65">
        <v>353.1901752947345</v>
      </c>
      <c r="G483" s="6">
        <v>1150</v>
      </c>
      <c r="H483" s="6">
        <v>1091</v>
      </c>
      <c r="I483" s="65">
        <v>5.2184784510519053</v>
      </c>
      <c r="J483" s="6">
        <f>VLOOKUP($D483,Sheet1!$A$5:$C$192,3,TRUE)</f>
        <v>2</v>
      </c>
      <c r="K483" s="42" t="str">
        <f>VLOOKUP($D483,Sheet1!$A$5:$C$192,2,TRUE)</f>
        <v>)|(</v>
      </c>
      <c r="L483" s="6">
        <f>FLOOR(VLOOKUP($D483,Sheet1!$D$5:$F$192,3,TRUE),1)</f>
        <v>5</v>
      </c>
      <c r="M483" s="42" t="str">
        <f>VLOOKUP($D483,Sheet1!$D$5:$F$192,2,TRUE)</f>
        <v>)~|</v>
      </c>
      <c r="N483" s="23">
        <f>FLOOR(VLOOKUP($D483,Sheet1!$G$5:$I$192,3,TRUE),1)</f>
        <v>6</v>
      </c>
      <c r="O483" s="42" t="str">
        <f>VLOOKUP($D483,Sheet1!$G$5:$I$192,2,TRUE)</f>
        <v>.~|(</v>
      </c>
      <c r="P483" s="23">
        <v>1</v>
      </c>
      <c r="Q483" s="43" t="str">
        <f>VLOOKUP($D483,Sheet1!$J$5:$L$192,2,TRUE)</f>
        <v>.~|(</v>
      </c>
      <c r="R483" s="23">
        <f>FLOOR(VLOOKUP($D483,Sheet1!$M$5:$O$192,3,TRUE),1)</f>
        <v>26</v>
      </c>
      <c r="S483" s="42" t="str">
        <f>VLOOKUP($D483,Sheet1!$M$5:$O$192,2,TRUE)</f>
        <v>)~|'</v>
      </c>
      <c r="T483" s="117">
        <f>IF(ABS(D483-VLOOKUP($D483,Sheet1!$M$5:$T$192,8,TRUE))&lt;10^-10,"SoCA",D483-VLOOKUP($D483,Sheet1!$M$5:$T$192,8,TRUE))</f>
        <v>0.2053550982512693</v>
      </c>
      <c r="U483" s="109">
        <f>IF(VLOOKUP($D483,Sheet1!$M$5:$U$192,9,TRUE)=0,"",IF(ABS(D483-VLOOKUP($D483,Sheet1!$M$5:$U$192,9,TRUE))&lt;10^-10,"Alt.",D483-VLOOKUP($D483,Sheet1!$M$5:$U$192,9,TRUE)))</f>
        <v>0.23231539345370322</v>
      </c>
      <c r="V483" s="132">
        <f>$D483-Sheet1!$M$3*$R483</f>
        <v>6.588356619760205E-3</v>
      </c>
      <c r="Z483" s="6"/>
      <c r="AA483" s="61"/>
    </row>
    <row r="484" spans="1:27" ht="13.5">
      <c r="A484" t="s">
        <v>1344</v>
      </c>
      <c r="B484">
        <v>11251712</v>
      </c>
      <c r="C484">
        <v>11335221</v>
      </c>
      <c r="D484" s="13">
        <f t="shared" si="11"/>
        <v>12.80158602832385</v>
      </c>
      <c r="E484" s="61" t="s">
        <v>1931</v>
      </c>
      <c r="F484" s="65">
        <v>6353.9867579718239</v>
      </c>
      <c r="G484" s="6">
        <v>1256</v>
      </c>
      <c r="H484" s="6">
        <v>1193</v>
      </c>
      <c r="I484" s="65">
        <v>6.2117597095189838</v>
      </c>
      <c r="J484" s="6">
        <f>VLOOKUP($D484,Sheet1!$A$5:$C$192,3,TRUE)</f>
        <v>2</v>
      </c>
      <c r="K484" s="42" t="str">
        <f>VLOOKUP($D484,Sheet1!$A$5:$C$192,2,TRUE)</f>
        <v>)|(</v>
      </c>
      <c r="L484" s="6">
        <f>FLOOR(VLOOKUP($D484,Sheet1!$D$5:$F$192,3,TRUE),1)</f>
        <v>5</v>
      </c>
      <c r="M484" s="42" t="str">
        <f>VLOOKUP($D484,Sheet1!$D$5:$F$192,2,TRUE)</f>
        <v>)~|</v>
      </c>
      <c r="N484" s="23">
        <f>FLOOR(VLOOKUP($D484,Sheet1!$G$5:$I$192,3,TRUE),1)</f>
        <v>6</v>
      </c>
      <c r="O484" s="42" t="str">
        <f>VLOOKUP($D484,Sheet1!$G$5:$I$192,2,TRUE)</f>
        <v>.~|(</v>
      </c>
      <c r="P484" s="23">
        <v>1</v>
      </c>
      <c r="Q484" s="43" t="str">
        <f>VLOOKUP($D484,Sheet1!$J$5:$L$192,2,TRUE)</f>
        <v>.~|(</v>
      </c>
      <c r="R484" s="23">
        <f>FLOOR(VLOOKUP($D484,Sheet1!$M$5:$O$192,3,TRUE),1)</f>
        <v>26</v>
      </c>
      <c r="S484" s="42" t="str">
        <f>VLOOKUP($D484,Sheet1!$M$5:$O$192,2,TRUE)</f>
        <v>.~|(</v>
      </c>
      <c r="T484" s="117">
        <f>IF(ABS(D484-VLOOKUP($D484,Sheet1!$M$5:$T$192,8,TRUE))&lt;10^-10,"SoCA",D484-VLOOKUP($D484,Sheet1!$M$5:$T$192,8,TRUE))</f>
        <v>2.4892988913631342E-2</v>
      </c>
      <c r="U484" s="109" t="str">
        <f>IF(VLOOKUP($D484,Sheet1!$M$5:$U$192,9,TRUE)=0,"",IF(ABS(D484-VLOOKUP($D484,Sheet1!$M$5:$U$192,9,TRUE))&lt;10^-10,"Alt.",D484-VLOOKUP($D484,Sheet1!$M$5:$U$192,9,TRUE)))</f>
        <v/>
      </c>
      <c r="V484" s="132">
        <f>$D484-Sheet1!$M$3*$R484</f>
        <v>0.11570552402981527</v>
      </c>
      <c r="Z484" s="6"/>
      <c r="AA484" s="61"/>
    </row>
    <row r="485" spans="1:27" ht="13.5">
      <c r="A485" t="s">
        <v>1507</v>
      </c>
      <c r="B485">
        <v>24235212800</v>
      </c>
      <c r="C485">
        <v>24413750001</v>
      </c>
      <c r="D485" s="13">
        <f t="shared" si="11"/>
        <v>12.706995226242915</v>
      </c>
      <c r="E485" s="61" t="s">
        <v>1931</v>
      </c>
      <c r="F485" s="65">
        <v>661729.84529019939</v>
      </c>
      <c r="G485" s="6">
        <v>1278</v>
      </c>
      <c r="H485" s="6">
        <v>1356</v>
      </c>
      <c r="I485" s="65">
        <v>9.2175840098161608</v>
      </c>
      <c r="J485" s="6">
        <f>VLOOKUP($D485,Sheet1!$A$5:$C$192,3,TRUE)</f>
        <v>2</v>
      </c>
      <c r="K485" s="42" t="str">
        <f>VLOOKUP($D485,Sheet1!$A$5:$C$192,2,TRUE)</f>
        <v>)|(</v>
      </c>
      <c r="L485" s="6">
        <f>FLOOR(VLOOKUP($D485,Sheet1!$D$5:$F$192,3,TRUE),1)</f>
        <v>5</v>
      </c>
      <c r="M485" s="42" t="str">
        <f>VLOOKUP($D485,Sheet1!$D$5:$F$192,2,TRUE)</f>
        <v>)~|</v>
      </c>
      <c r="N485" s="23">
        <f>FLOOR(VLOOKUP($D485,Sheet1!$G$5:$I$192,3,TRUE),1)</f>
        <v>6</v>
      </c>
      <c r="O485" s="42" t="str">
        <f>VLOOKUP($D485,Sheet1!$G$5:$I$192,2,TRUE)</f>
        <v>.~|(</v>
      </c>
      <c r="P485" s="23">
        <v>1</v>
      </c>
      <c r="Q485" s="43" t="str">
        <f>VLOOKUP($D485,Sheet1!$J$5:$L$192,2,TRUE)</f>
        <v>.~|(</v>
      </c>
      <c r="R485" s="23">
        <f>FLOOR(VLOOKUP($D485,Sheet1!$M$5:$O$192,3,TRUE),1)</f>
        <v>26</v>
      </c>
      <c r="S485" s="42" t="str">
        <f>VLOOKUP($D485,Sheet1!$M$5:$O$192,2,TRUE)</f>
        <v>)~|'</v>
      </c>
      <c r="T485" s="117">
        <f>IF(ABS(D485-VLOOKUP($D485,Sheet1!$M$5:$T$192,8,TRUE))&lt;10^-10,"SoCA",D485-VLOOKUP($D485,Sheet1!$M$5:$T$192,8,TRUE))</f>
        <v>0.21988146358038918</v>
      </c>
      <c r="U485" s="109">
        <f>IF(VLOOKUP($D485,Sheet1!$M$5:$U$192,9,TRUE)=0,"",IF(ABS(D485-VLOOKUP($D485,Sheet1!$M$5:$U$192,9,TRUE))&lt;10^-10,"Alt.",D485-VLOOKUP($D485,Sheet1!$M$5:$U$192,9,TRUE)))</f>
        <v>0.24684175878282311</v>
      </c>
      <c r="V485" s="132">
        <f>$D485-Sheet1!$M$3*$R485</f>
        <v>2.1114721948880089E-2</v>
      </c>
      <c r="Z485" s="6"/>
      <c r="AA485" s="61"/>
    </row>
    <row r="486" spans="1:27" ht="13.5">
      <c r="A486" t="s">
        <v>1343</v>
      </c>
      <c r="B486">
        <v>1068452864</v>
      </c>
      <c r="C486">
        <v>1076399847</v>
      </c>
      <c r="D486" s="13">
        <f t="shared" si="11"/>
        <v>12.828993286357727</v>
      </c>
      <c r="E486" s="61" t="s">
        <v>1931</v>
      </c>
      <c r="F486" s="65">
        <v>1535599.9489481261</v>
      </c>
      <c r="G486" s="6">
        <v>1255</v>
      </c>
      <c r="H486" s="6">
        <v>1192</v>
      </c>
      <c r="I486" s="65">
        <v>6.2100721447917611</v>
      </c>
      <c r="J486" s="6">
        <f>VLOOKUP($D486,Sheet1!$A$5:$C$192,3,TRUE)</f>
        <v>2</v>
      </c>
      <c r="K486" s="42" t="str">
        <f>VLOOKUP($D486,Sheet1!$A$5:$C$192,2,TRUE)</f>
        <v>)|(</v>
      </c>
      <c r="L486" s="6">
        <f>FLOOR(VLOOKUP($D486,Sheet1!$D$5:$F$192,3,TRUE),1)</f>
        <v>5</v>
      </c>
      <c r="M486" s="42" t="str">
        <f>VLOOKUP($D486,Sheet1!$D$5:$F$192,2,TRUE)</f>
        <v>)~|</v>
      </c>
      <c r="N486" s="23">
        <f>FLOOR(VLOOKUP($D486,Sheet1!$G$5:$I$192,3,TRUE),1)</f>
        <v>6</v>
      </c>
      <c r="O486" s="42" t="str">
        <f>VLOOKUP($D486,Sheet1!$G$5:$I$192,2,TRUE)</f>
        <v>.~|(</v>
      </c>
      <c r="P486" s="23">
        <v>1</v>
      </c>
      <c r="Q486" s="43" t="str">
        <f>VLOOKUP($D486,Sheet1!$J$5:$L$192,2,TRUE)</f>
        <v>.~|(</v>
      </c>
      <c r="R486" s="23">
        <f>FLOOR(VLOOKUP($D486,Sheet1!$M$5:$O$192,3,TRUE),1)</f>
        <v>26</v>
      </c>
      <c r="S486" s="42" t="str">
        <f>VLOOKUP($D486,Sheet1!$M$5:$O$192,2,TRUE)</f>
        <v>.~|(</v>
      </c>
      <c r="T486" s="117">
        <f>IF(ABS(D486-VLOOKUP($D486,Sheet1!$M$5:$T$192,8,TRUE))&lt;10^-10,"SoCA",D486-VLOOKUP($D486,Sheet1!$M$5:$T$192,8,TRUE))</f>
        <v>5.2300246947508455E-2</v>
      </c>
      <c r="U486" s="109" t="str">
        <f>IF(VLOOKUP($D486,Sheet1!$M$5:$U$192,9,TRUE)=0,"",IF(ABS(D486-VLOOKUP($D486,Sheet1!$M$5:$U$192,9,TRUE))&lt;10^-10,"Alt.",D486-VLOOKUP($D486,Sheet1!$M$5:$U$192,9,TRUE)))</f>
        <v/>
      </c>
      <c r="V486" s="132">
        <f>$D486-Sheet1!$M$3*$R486</f>
        <v>0.14311278206369238</v>
      </c>
      <c r="Z486" s="6"/>
      <c r="AA486" s="61"/>
    </row>
    <row r="487" spans="1:27" ht="13.5">
      <c r="A487" s="38" t="s">
        <v>298</v>
      </c>
      <c r="B487" s="38">
        <f>3^5*23</f>
        <v>5589</v>
      </c>
      <c r="C487" s="38">
        <f>2^9*11</f>
        <v>5632</v>
      </c>
      <c r="D487" s="13">
        <f t="shared" si="11"/>
        <v>13.268590769404103</v>
      </c>
      <c r="E487" s="61">
        <v>23</v>
      </c>
      <c r="F487" s="65">
        <v>34.874755019686681</v>
      </c>
      <c r="G487" s="6">
        <v>129</v>
      </c>
      <c r="H487" s="6">
        <v>124</v>
      </c>
      <c r="I487" s="65">
        <v>-5.8169954737802305</v>
      </c>
      <c r="J487" s="6">
        <f>VLOOKUP($D487,Sheet1!$A$5:$C$192,3,TRUE)</f>
        <v>2</v>
      </c>
      <c r="K487" s="42" t="str">
        <f>VLOOKUP($D487,Sheet1!$A$5:$C$192,2,TRUE)</f>
        <v>)|(</v>
      </c>
      <c r="L487" s="6">
        <f>FLOOR(VLOOKUP($D487,Sheet1!$D$5:$F$192,3,TRUE),1)</f>
        <v>5</v>
      </c>
      <c r="M487" s="42" t="str">
        <f>VLOOKUP($D487,Sheet1!$D$5:$F$192,2,TRUE)</f>
        <v>)~|</v>
      </c>
      <c r="N487" s="23">
        <f>FLOOR(VLOOKUP($D487,Sheet1!$G$5:$I$192,3,TRUE),1)</f>
        <v>6</v>
      </c>
      <c r="O487" s="42" t="str">
        <f>VLOOKUP($D487,Sheet1!$G$5:$I$192,2,TRUE)</f>
        <v>.~|(</v>
      </c>
      <c r="P487" s="23">
        <v>1</v>
      </c>
      <c r="Q487" s="45" t="str">
        <f>VLOOKUP($D487,Sheet1!$J$5:$L$192,2,TRUE)</f>
        <v>.~|('</v>
      </c>
      <c r="R487" s="38">
        <f>FLOOR(VLOOKUP($D487,Sheet1!$M$5:$O$192,3,TRUE),1)</f>
        <v>27</v>
      </c>
      <c r="S487" s="45" t="str">
        <f>VLOOKUP($D487,Sheet1!$M$5:$O$192,2,TRUE)</f>
        <v>.~|('</v>
      </c>
      <c r="T487" s="108">
        <f>IF(ABS(D487-VLOOKUP($D487,Sheet1!$M$5:$T$192,8,TRUE))&lt;10^-10,"SoCA",D487-VLOOKUP($D487,Sheet1!$M$5:$T$192,8,TRUE))</f>
        <v>6.9181564039059396E-2</v>
      </c>
      <c r="U487" s="108">
        <f>IF(VLOOKUP($D487,Sheet1!$M$5:$U$192,9,TRUE)=0,"",IF(ABS(D487-VLOOKUP($D487,Sheet1!$M$5:$U$192,9,TRUE))&lt;10^-10,"Alt.",D487-VLOOKUP($D487,Sheet1!$M$5:$U$192,9,TRUE)))</f>
        <v>9.6141859241493322E-2</v>
      </c>
      <c r="V487" s="133">
        <f>$D487-Sheet1!$M$3*$R487</f>
        <v>9.479178417568157E-2</v>
      </c>
      <c r="Z487" s="6"/>
      <c r="AA487" s="61"/>
    </row>
    <row r="488" spans="1:27" ht="13.5">
      <c r="A488" s="6" t="s">
        <v>1009</v>
      </c>
      <c r="B488" s="6">
        <f>3^2*13*19</f>
        <v>2223</v>
      </c>
      <c r="C488" s="6">
        <f>2^6*5*7</f>
        <v>2240</v>
      </c>
      <c r="D488" s="13">
        <f t="shared" si="11"/>
        <v>13.18894070157166</v>
      </c>
      <c r="E488" s="61">
        <v>19</v>
      </c>
      <c r="F488" s="65">
        <v>44.116570925220088</v>
      </c>
      <c r="G488" s="6">
        <v>924</v>
      </c>
      <c r="H488" s="6">
        <v>857</v>
      </c>
      <c r="I488" s="65">
        <v>-2.8120911289227912</v>
      </c>
      <c r="J488" s="6">
        <f>VLOOKUP($D488,Sheet1!$A$5:$C$192,3,TRUE)</f>
        <v>2</v>
      </c>
      <c r="K488" s="42" t="str">
        <f>VLOOKUP($D488,Sheet1!$A$5:$C$192,2,TRUE)</f>
        <v>)|(</v>
      </c>
      <c r="L488" s="6">
        <f>FLOOR(VLOOKUP($D488,Sheet1!$D$5:$F$192,3,TRUE),1)</f>
        <v>5</v>
      </c>
      <c r="M488" s="42" t="str">
        <f>VLOOKUP($D488,Sheet1!$D$5:$F$192,2,TRUE)</f>
        <v>)~|</v>
      </c>
      <c r="N488" s="23">
        <f>FLOOR(VLOOKUP($D488,Sheet1!$G$5:$I$192,3,TRUE),1)</f>
        <v>6</v>
      </c>
      <c r="O488" s="42" t="str">
        <f>VLOOKUP($D488,Sheet1!$G$5:$I$192,2,TRUE)</f>
        <v>.~|(</v>
      </c>
      <c r="P488" s="23">
        <v>1</v>
      </c>
      <c r="Q488" s="43" t="str">
        <f>VLOOKUP($D488,Sheet1!$J$5:$L$192,2,TRUE)</f>
        <v>.~|('</v>
      </c>
      <c r="R488" s="23">
        <f>FLOOR(VLOOKUP($D488,Sheet1!$M$5:$O$192,3,TRUE),1)</f>
        <v>27</v>
      </c>
      <c r="S488" s="42" t="str">
        <f>VLOOKUP($D488,Sheet1!$M$5:$O$192,2,TRUE)</f>
        <v>.~|('</v>
      </c>
      <c r="T488" s="117">
        <f>IF(ABS(D488-VLOOKUP($D488,Sheet1!$M$5:$T$192,8,TRUE))&lt;10^-10,"SoCA",D488-VLOOKUP($D488,Sheet1!$M$5:$T$192,8,TRUE))</f>
        <v>-1.0468503793383377E-2</v>
      </c>
      <c r="U488" s="109">
        <f>IF(VLOOKUP($D488,Sheet1!$M$5:$U$192,9,TRUE)=0,"",IF(ABS(D488-VLOOKUP($D488,Sheet1!$M$5:$U$192,9,TRUE))&lt;10^-10,"Alt.",D488-VLOOKUP($D488,Sheet1!$M$5:$U$192,9,TRUE)))</f>
        <v>1.6491791409050549E-2</v>
      </c>
      <c r="V488" s="132">
        <f>$D488-Sheet1!$M$3*$R488</f>
        <v>1.5141716343238798E-2</v>
      </c>
      <c r="Z488" s="6"/>
      <c r="AA488" s="61"/>
    </row>
    <row r="489" spans="1:27" ht="13.5">
      <c r="A489" s="6" t="s">
        <v>910</v>
      </c>
      <c r="B489" s="6">
        <f>2^2*3*11</f>
        <v>132</v>
      </c>
      <c r="C489" s="6">
        <f>7*19</f>
        <v>133</v>
      </c>
      <c r="D489" s="13">
        <f t="shared" si="11"/>
        <v>13.065979371283385</v>
      </c>
      <c r="E489" s="61">
        <v>19</v>
      </c>
      <c r="F489" s="65">
        <v>44.455586373902158</v>
      </c>
      <c r="G489" s="6">
        <v>817</v>
      </c>
      <c r="H489" s="6">
        <v>758</v>
      </c>
      <c r="I489" s="65">
        <v>-1.8045199518444259</v>
      </c>
      <c r="J489" s="6">
        <f>VLOOKUP($D489,Sheet1!$A$5:$C$192,3,TRUE)</f>
        <v>2</v>
      </c>
      <c r="K489" s="42" t="str">
        <f>VLOOKUP($D489,Sheet1!$A$5:$C$192,2,TRUE)</f>
        <v>)|(</v>
      </c>
      <c r="L489" s="6">
        <f>FLOOR(VLOOKUP($D489,Sheet1!$D$5:$F$192,3,TRUE),1)</f>
        <v>5</v>
      </c>
      <c r="M489" s="42" t="str">
        <f>VLOOKUP($D489,Sheet1!$D$5:$F$192,2,TRUE)</f>
        <v>)~|</v>
      </c>
      <c r="N489" s="23">
        <f>FLOOR(VLOOKUP($D489,Sheet1!$G$5:$I$192,3,TRUE),1)</f>
        <v>6</v>
      </c>
      <c r="O489" s="42" t="str">
        <f>VLOOKUP($D489,Sheet1!$G$5:$I$192,2,TRUE)</f>
        <v>.~|(</v>
      </c>
      <c r="P489" s="23">
        <v>1</v>
      </c>
      <c r="Q489" s="43" t="str">
        <f>VLOOKUP($D489,Sheet1!$J$5:$L$192,2,TRUE)</f>
        <v>.~|('</v>
      </c>
      <c r="R489" s="23">
        <f>FLOOR(VLOOKUP($D489,Sheet1!$M$5:$O$192,3,TRUE),1)</f>
        <v>27</v>
      </c>
      <c r="S489" s="42" t="str">
        <f>VLOOKUP($D489,Sheet1!$M$5:$O$192,2,TRUE)</f>
        <v>)~|''</v>
      </c>
      <c r="T489" s="117">
        <f>IF(ABS(D489-VLOOKUP($D489,Sheet1!$M$5:$T$192,8,TRUE))&lt;10^-10,"SoCA",D489-VLOOKUP($D489,Sheet1!$M$5:$T$192,8,TRUE))</f>
        <v>0.16905757047408443</v>
      </c>
      <c r="U489" s="109">
        <f>IF(VLOOKUP($D489,Sheet1!$M$5:$U$192,9,TRUE)=0,"",IF(ABS(D489-VLOOKUP($D489,Sheet1!$M$5:$U$192,9,TRUE))&lt;10^-10,"Alt.",D489-VLOOKUP($D489,Sheet1!$M$5:$U$192,9,TRUE)))</f>
        <v>0.18310973786854134</v>
      </c>
      <c r="V489" s="132">
        <f>$D489-Sheet1!$M$3*$R489</f>
        <v>-0.10781961394503625</v>
      </c>
      <c r="Z489" s="6"/>
      <c r="AA489" s="61"/>
    </row>
    <row r="490" spans="1:27" ht="13.5">
      <c r="A490" s="40" t="s">
        <v>57</v>
      </c>
      <c r="B490" s="40">
        <f>5*7^3</f>
        <v>1715</v>
      </c>
      <c r="C490" s="40">
        <f>2^6*3^3</f>
        <v>1728</v>
      </c>
      <c r="D490" s="13">
        <f t="shared" si="11"/>
        <v>13.07356932395248</v>
      </c>
      <c r="E490" s="61">
        <v>7</v>
      </c>
      <c r="F490" s="65">
        <v>46.915776555822106</v>
      </c>
      <c r="G490" s="6">
        <v>110</v>
      </c>
      <c r="H490" s="6">
        <v>102</v>
      </c>
      <c r="I490" s="65">
        <v>2.1950127071180345</v>
      </c>
      <c r="J490" s="6">
        <f>VLOOKUP($D490,Sheet1!$A$5:$C$192,3,TRUE)</f>
        <v>2</v>
      </c>
      <c r="K490" s="42" t="str">
        <f>VLOOKUP($D490,Sheet1!$A$5:$C$192,2,TRUE)</f>
        <v>)|(</v>
      </c>
      <c r="L490" s="6">
        <f>FLOOR(VLOOKUP($D490,Sheet1!$D$5:$F$192,3,TRUE),1)</f>
        <v>5</v>
      </c>
      <c r="M490" s="42" t="str">
        <f>VLOOKUP($D490,Sheet1!$D$5:$F$192,2,TRUE)</f>
        <v>)~|</v>
      </c>
      <c r="N490" s="23">
        <f>FLOOR(VLOOKUP($D490,Sheet1!$G$5:$I$192,3,TRUE),1)</f>
        <v>6</v>
      </c>
      <c r="O490" s="42" t="str">
        <f>VLOOKUP($D490,Sheet1!$G$5:$I$192,2,TRUE)</f>
        <v>.~|(</v>
      </c>
      <c r="P490" s="23">
        <v>1</v>
      </c>
      <c r="Q490" s="43" t="str">
        <f>VLOOKUP($D490,Sheet1!$J$5:$L$192,2,TRUE)</f>
        <v>.~|('</v>
      </c>
      <c r="R490" s="40">
        <f>FLOOR(VLOOKUP($D490,Sheet1!$M$5:$O$192,3,TRUE),1)</f>
        <v>27</v>
      </c>
      <c r="S490" s="46" t="str">
        <f>VLOOKUP($D490,Sheet1!$M$5:$O$192,2,TRUE)</f>
        <v>)~|''</v>
      </c>
      <c r="T490" s="115">
        <f>IF(ABS(D490-VLOOKUP($D490,Sheet1!$M$5:$T$192,8,TRUE))&lt;10^-10,"SoCA",D490-VLOOKUP($D490,Sheet1!$M$5:$T$192,8,TRUE))</f>
        <v>0.17664752314317944</v>
      </c>
      <c r="U490" s="115">
        <f>IF(VLOOKUP($D490,Sheet1!$M$5:$U$192,9,TRUE)=0,"",IF(ABS(D490-VLOOKUP($D490,Sheet1!$M$5:$U$192,9,TRUE))&lt;10^-10,"Alt.",D490-VLOOKUP($D490,Sheet1!$M$5:$U$192,9,TRUE)))</f>
        <v>0.19069969053763636</v>
      </c>
      <c r="V490" s="132">
        <f>$D490-Sheet1!$M$3*$R490</f>
        <v>-0.10022966127594124</v>
      </c>
      <c r="Z490" s="6"/>
      <c r="AA490" s="61"/>
    </row>
    <row r="491" spans="1:27" ht="13.5">
      <c r="A491" s="23" t="s">
        <v>1044</v>
      </c>
      <c r="B491" s="23">
        <f>2^9*19</f>
        <v>9728</v>
      </c>
      <c r="C491" s="23">
        <f>3^4*11^2</f>
        <v>9801</v>
      </c>
      <c r="D491" s="13">
        <f t="shared" si="11"/>
        <v>12.942872058760573</v>
      </c>
      <c r="E491" s="61">
        <v>19</v>
      </c>
      <c r="F491" s="65">
        <v>49.461895974781051</v>
      </c>
      <c r="G491" s="6">
        <v>962</v>
      </c>
      <c r="H491" s="6">
        <v>892</v>
      </c>
      <c r="I491" s="65">
        <v>3.2030602138919617</v>
      </c>
      <c r="J491" s="6">
        <f>VLOOKUP($D491,Sheet1!$A$5:$C$192,3,TRUE)</f>
        <v>2</v>
      </c>
      <c r="K491" s="42" t="str">
        <f>VLOOKUP($D491,Sheet1!$A$5:$C$192,2,TRUE)</f>
        <v>)|(</v>
      </c>
      <c r="L491" s="6">
        <f>FLOOR(VLOOKUP($D491,Sheet1!$D$5:$F$192,3,TRUE),1)</f>
        <v>5</v>
      </c>
      <c r="M491" s="42" t="str">
        <f>VLOOKUP($D491,Sheet1!$D$5:$F$192,2,TRUE)</f>
        <v>)~|</v>
      </c>
      <c r="N491" s="23">
        <f>FLOOR(VLOOKUP($D491,Sheet1!$G$5:$I$192,3,TRUE),1)</f>
        <v>6</v>
      </c>
      <c r="O491" s="42" t="str">
        <f>VLOOKUP($D491,Sheet1!$G$5:$I$192,2,TRUE)</f>
        <v>.~|(</v>
      </c>
      <c r="P491" s="23">
        <v>1</v>
      </c>
      <c r="Q491" s="43" t="str">
        <f>VLOOKUP($D491,Sheet1!$J$5:$L$192,2,TRUE)</f>
        <v>.~|('</v>
      </c>
      <c r="R491" s="23">
        <f>FLOOR(VLOOKUP($D491,Sheet1!$M$5:$O$192,3,TRUE),1)</f>
        <v>27</v>
      </c>
      <c r="S491" s="43" t="str">
        <f>VLOOKUP($D491,Sheet1!$M$5:$O$192,2,TRUE)</f>
        <v>)~|''</v>
      </c>
      <c r="T491" s="117">
        <f>IF(ABS(D491-VLOOKUP($D491,Sheet1!$M$5:$T$192,8,TRUE))&lt;10^-10,"SoCA",D491-VLOOKUP($D491,Sheet1!$M$5:$T$192,8,TRUE))</f>
        <v>4.5950257951272278E-2</v>
      </c>
      <c r="U491" s="117">
        <f>IF(VLOOKUP($D491,Sheet1!$M$5:$U$192,9,TRUE)=0,"",IF(ABS(D491-VLOOKUP($D491,Sheet1!$M$5:$U$192,9,TRUE))&lt;10^-10,"Alt.",D491-VLOOKUP($D491,Sheet1!$M$5:$U$192,9,TRUE)))</f>
        <v>6.0002425345729193E-2</v>
      </c>
      <c r="V491" s="132">
        <f>$D491-Sheet1!$M$3*$R491</f>
        <v>-0.2309269264678484</v>
      </c>
      <c r="Z491" s="6"/>
      <c r="AA491" s="61"/>
    </row>
    <row r="492" spans="1:27" ht="13.5">
      <c r="A492" s="127" t="s">
        <v>734</v>
      </c>
      <c r="B492" s="127">
        <v>16640</v>
      </c>
      <c r="C492" s="127">
        <v>16767</v>
      </c>
      <c r="D492" s="13">
        <f t="shared" si="11"/>
        <v>13.162976826594473</v>
      </c>
      <c r="E492" s="61">
        <v>23</v>
      </c>
      <c r="F492" s="65">
        <v>50.244005735859595</v>
      </c>
      <c r="G492" s="6">
        <v>619</v>
      </c>
      <c r="H492" s="6">
        <v>579</v>
      </c>
      <c r="I492" s="65">
        <v>5.1895075614511006</v>
      </c>
      <c r="J492" s="6">
        <f>VLOOKUP($D492,Sheet1!$A$5:$C$192,3,TRUE)</f>
        <v>2</v>
      </c>
      <c r="K492" s="42" t="str">
        <f>VLOOKUP($D492,Sheet1!$A$5:$C$192,2,TRUE)</f>
        <v>)|(</v>
      </c>
      <c r="L492" s="6">
        <f>FLOOR(VLOOKUP($D492,Sheet1!$D$5:$F$192,3,TRUE),1)</f>
        <v>5</v>
      </c>
      <c r="M492" s="42" t="str">
        <f>VLOOKUP($D492,Sheet1!$D$5:$F$192,2,TRUE)</f>
        <v>)~|</v>
      </c>
      <c r="N492" s="23">
        <f>FLOOR(VLOOKUP($D492,Sheet1!$G$5:$I$192,3,TRUE),1)</f>
        <v>6</v>
      </c>
      <c r="O492" s="42" t="str">
        <f>VLOOKUP($D492,Sheet1!$G$5:$I$192,2,TRUE)</f>
        <v>.~|(</v>
      </c>
      <c r="P492" s="23">
        <v>1</v>
      </c>
      <c r="Q492" s="43" t="str">
        <f>VLOOKUP($D492,Sheet1!$J$5:$L$192,2,TRUE)</f>
        <v>.~|('</v>
      </c>
      <c r="R492" s="23">
        <f>FLOOR(VLOOKUP($D492,Sheet1!$M$5:$O$192,3,TRUE),1)</f>
        <v>27</v>
      </c>
      <c r="S492" s="42" t="str">
        <f>VLOOKUP($D492,Sheet1!$M$5:$O$192,2,TRUE)</f>
        <v>)~|''</v>
      </c>
      <c r="T492" s="117">
        <f>IF(ABS(D492-VLOOKUP($D492,Sheet1!$M$5:$T$192,8,TRUE))&lt;10^-10,"SoCA",D492-VLOOKUP($D492,Sheet1!$M$5:$T$192,8,TRUE))</f>
        <v>0.26605502578517282</v>
      </c>
      <c r="U492" s="109">
        <f>IF(VLOOKUP($D492,Sheet1!$M$5:$U$192,9,TRUE)=0,"",IF(ABS(D492-VLOOKUP($D492,Sheet1!$M$5:$U$192,9,TRUE))&lt;10^-10,"Alt.",D492-VLOOKUP($D492,Sheet1!$M$5:$U$192,9,TRUE)))</f>
        <v>0.28010719317962973</v>
      </c>
      <c r="V492" s="132">
        <f>$D492-Sheet1!$M$3*$R492</f>
        <v>-1.0822158633947865E-2</v>
      </c>
      <c r="Z492" s="6"/>
      <c r="AA492" s="61"/>
    </row>
    <row r="493" spans="1:27" ht="13.5">
      <c r="A493" t="s">
        <v>536</v>
      </c>
      <c r="B493">
        <v>253952</v>
      </c>
      <c r="C493">
        <v>255879</v>
      </c>
      <c r="D493" s="13">
        <f t="shared" si="11"/>
        <v>13.087097093547262</v>
      </c>
      <c r="E493" s="61">
        <v>31</v>
      </c>
      <c r="F493" s="65">
        <v>52.511819088939845</v>
      </c>
      <c r="G493" s="6">
        <v>354</v>
      </c>
      <c r="H493" s="6">
        <v>379</v>
      </c>
      <c r="I493" s="65">
        <v>8.1941797530597356</v>
      </c>
      <c r="J493" s="6">
        <f>VLOOKUP($D493,Sheet1!$A$5:$C$192,3,TRUE)</f>
        <v>2</v>
      </c>
      <c r="K493" s="42" t="str">
        <f>VLOOKUP($D493,Sheet1!$A$5:$C$192,2,TRUE)</f>
        <v>)|(</v>
      </c>
      <c r="L493" s="6">
        <f>FLOOR(VLOOKUP($D493,Sheet1!$D$5:$F$192,3,TRUE),1)</f>
        <v>5</v>
      </c>
      <c r="M493" s="42" t="str">
        <f>VLOOKUP($D493,Sheet1!$D$5:$F$192,2,TRUE)</f>
        <v>)~|</v>
      </c>
      <c r="N493" s="23">
        <f>FLOOR(VLOOKUP($D493,Sheet1!$G$5:$I$192,3,TRUE),1)</f>
        <v>6</v>
      </c>
      <c r="O493" s="42" t="str">
        <f>VLOOKUP($D493,Sheet1!$G$5:$I$192,2,TRUE)</f>
        <v>.~|(</v>
      </c>
      <c r="P493" s="23">
        <v>1</v>
      </c>
      <c r="Q493" s="43" t="str">
        <f>VLOOKUP($D493,Sheet1!$J$5:$L$192,2,TRUE)</f>
        <v>.~|('</v>
      </c>
      <c r="R493" s="23">
        <f>FLOOR(VLOOKUP($D493,Sheet1!$M$5:$O$192,3,TRUE),1)</f>
        <v>27</v>
      </c>
      <c r="S493" s="42" t="str">
        <f>VLOOKUP($D493,Sheet1!$M$5:$O$192,2,TRUE)</f>
        <v>)~|''</v>
      </c>
      <c r="T493" s="117">
        <f>IF(ABS(D493-VLOOKUP($D493,Sheet1!$M$5:$T$192,8,TRUE))&lt;10^-10,"SoCA",D493-VLOOKUP($D493,Sheet1!$M$5:$T$192,8,TRUE))</f>
        <v>0.19017529273796185</v>
      </c>
      <c r="U493" s="109">
        <f>IF(VLOOKUP($D493,Sheet1!$M$5:$U$192,9,TRUE)=0,"",IF(ABS(D493-VLOOKUP($D493,Sheet1!$M$5:$U$192,9,TRUE))&lt;10^-10,"Alt.",D493-VLOOKUP($D493,Sheet1!$M$5:$U$192,9,TRUE)))</f>
        <v>0.20422746013241877</v>
      </c>
      <c r="V493" s="132">
        <f>$D493-Sheet1!$M$3*$R493</f>
        <v>-8.6701891681158827E-2</v>
      </c>
      <c r="Z493" s="6"/>
      <c r="AA493" s="61"/>
    </row>
    <row r="494" spans="1:27" ht="13.5">
      <c r="A494" s="6" t="s">
        <v>965</v>
      </c>
      <c r="B494" s="6">
        <f>3^9*19</f>
        <v>373977</v>
      </c>
      <c r="C494" s="6">
        <f>2^14*23</f>
        <v>376832</v>
      </c>
      <c r="D494" s="13">
        <f t="shared" si="11"/>
        <v>13.166323347626227</v>
      </c>
      <c r="E494" s="61">
        <v>23</v>
      </c>
      <c r="F494" s="65">
        <v>56.738774131401556</v>
      </c>
      <c r="G494" s="6">
        <v>448</v>
      </c>
      <c r="H494" s="6">
        <v>813</v>
      </c>
      <c r="I494" s="65">
        <v>-9.8106984960408639</v>
      </c>
      <c r="J494" s="6">
        <f>VLOOKUP($D494,Sheet1!$A$5:$C$192,3,TRUE)</f>
        <v>2</v>
      </c>
      <c r="K494" s="42" t="str">
        <f>VLOOKUP($D494,Sheet1!$A$5:$C$192,2,TRUE)</f>
        <v>)|(</v>
      </c>
      <c r="L494" s="6">
        <f>FLOOR(VLOOKUP($D494,Sheet1!$D$5:$F$192,3,TRUE),1)</f>
        <v>5</v>
      </c>
      <c r="M494" s="42" t="str">
        <f>VLOOKUP($D494,Sheet1!$D$5:$F$192,2,TRUE)</f>
        <v>)~|</v>
      </c>
      <c r="N494" s="23">
        <f>FLOOR(VLOOKUP($D494,Sheet1!$G$5:$I$192,3,TRUE),1)</f>
        <v>6</v>
      </c>
      <c r="O494" s="42" t="str">
        <f>VLOOKUP($D494,Sheet1!$G$5:$I$192,2,TRUE)</f>
        <v>.~|(</v>
      </c>
      <c r="P494" s="23">
        <v>1</v>
      </c>
      <c r="Q494" s="43" t="str">
        <f>VLOOKUP($D494,Sheet1!$J$5:$L$192,2,TRUE)</f>
        <v>.~|('</v>
      </c>
      <c r="R494" s="23">
        <f>FLOOR(VLOOKUP($D494,Sheet1!$M$5:$O$192,3,TRUE),1)</f>
        <v>27</v>
      </c>
      <c r="S494" s="42" t="str">
        <f>VLOOKUP($D494,Sheet1!$M$5:$O$192,2,TRUE)</f>
        <v>)~|''</v>
      </c>
      <c r="T494" s="117">
        <f>IF(ABS(D494-VLOOKUP($D494,Sheet1!$M$5:$T$192,8,TRUE))&lt;10^-10,"SoCA",D494-VLOOKUP($D494,Sheet1!$M$5:$T$192,8,TRUE))</f>
        <v>0.26940154681692619</v>
      </c>
      <c r="U494" s="109">
        <f>IF(VLOOKUP($D494,Sheet1!$M$5:$U$192,9,TRUE)=0,"",IF(ABS(D494-VLOOKUP($D494,Sheet1!$M$5:$U$192,9,TRUE))&lt;10^-10,"Alt.",D494-VLOOKUP($D494,Sheet1!$M$5:$U$192,9,TRUE)))</f>
        <v>0.2834537142113831</v>
      </c>
      <c r="V494" s="132">
        <f>$D494-Sheet1!$M$3*$R494</f>
        <v>-7.4756376021944959E-3</v>
      </c>
      <c r="Z494" s="6"/>
      <c r="AA494" s="61"/>
    </row>
    <row r="495" spans="1:27" ht="13.5">
      <c r="A495" t="s">
        <v>1650</v>
      </c>
      <c r="B495">
        <v>4980736</v>
      </c>
      <c r="C495">
        <v>5019165</v>
      </c>
      <c r="D495" s="13">
        <f t="shared" si="11"/>
        <v>13.306115886813734</v>
      </c>
      <c r="E495" s="61">
        <v>19</v>
      </c>
      <c r="F495" s="65">
        <v>65.867147981814767</v>
      </c>
      <c r="G495" s="6">
        <v>1554</v>
      </c>
      <c r="H495" s="6">
        <v>1499</v>
      </c>
      <c r="I495" s="65">
        <v>9.1806939680294128</v>
      </c>
      <c r="J495" s="6">
        <f>VLOOKUP($D495,Sheet1!$A$5:$C$192,3,TRUE)</f>
        <v>2</v>
      </c>
      <c r="K495" s="42" t="str">
        <f>VLOOKUP($D495,Sheet1!$A$5:$C$192,2,TRUE)</f>
        <v>)|(</v>
      </c>
      <c r="L495" s="6">
        <f>FLOOR(VLOOKUP($D495,Sheet1!$D$5:$F$192,3,TRUE),1)</f>
        <v>5</v>
      </c>
      <c r="M495" s="42" t="str">
        <f>VLOOKUP($D495,Sheet1!$D$5:$F$192,2,TRUE)</f>
        <v>)~|</v>
      </c>
      <c r="N495" s="23">
        <f>FLOOR(VLOOKUP($D495,Sheet1!$G$5:$I$192,3,TRUE),1)</f>
        <v>6</v>
      </c>
      <c r="O495" s="42" t="str">
        <f>VLOOKUP($D495,Sheet1!$G$5:$I$192,2,TRUE)</f>
        <v>.~|(</v>
      </c>
      <c r="P495" s="23">
        <v>1</v>
      </c>
      <c r="Q495" s="43" t="str">
        <f>VLOOKUP($D495,Sheet1!$J$5:$L$192,2,TRUE)</f>
        <v>.~|('</v>
      </c>
      <c r="R495" s="23">
        <f>FLOOR(VLOOKUP($D495,Sheet1!$M$5:$O$192,3,TRUE),1)</f>
        <v>27</v>
      </c>
      <c r="S495" s="42" t="str">
        <f>VLOOKUP($D495,Sheet1!$M$5:$O$192,2,TRUE)</f>
        <v>.~|('</v>
      </c>
      <c r="T495" s="117">
        <f>IF(ABS(D495-VLOOKUP($D495,Sheet1!$M$5:$T$192,8,TRUE))&lt;10^-10,"SoCA",D495-VLOOKUP($D495,Sheet1!$M$5:$T$192,8,TRUE))</f>
        <v>0.10670668144869033</v>
      </c>
      <c r="U495" s="109">
        <f>IF(VLOOKUP($D495,Sheet1!$M$5:$U$192,9,TRUE)=0,"",IF(ABS(D495-VLOOKUP($D495,Sheet1!$M$5:$U$192,9,TRUE))&lt;10^-10,"Alt.",D495-VLOOKUP($D495,Sheet1!$M$5:$U$192,9,TRUE)))</f>
        <v>0.13366697665112426</v>
      </c>
      <c r="V495" s="132">
        <f>$D495-Sheet1!$M$3*$R495</f>
        <v>0.13231690158531251</v>
      </c>
      <c r="Z495" s="6"/>
      <c r="AA495" s="61"/>
    </row>
    <row r="496" spans="1:27" ht="13.5">
      <c r="A496" t="s">
        <v>506</v>
      </c>
      <c r="B496">
        <v>129</v>
      </c>
      <c r="C496">
        <v>130</v>
      </c>
      <c r="D496" s="13">
        <f t="shared" si="11"/>
        <v>13.368669126240491</v>
      </c>
      <c r="E496" s="61">
        <v>43</v>
      </c>
      <c r="F496" s="65">
        <v>73.263382599957851</v>
      </c>
      <c r="G496" s="6">
        <v>381</v>
      </c>
      <c r="H496" s="6">
        <v>347</v>
      </c>
      <c r="I496" s="65">
        <v>-1.8231576628159516</v>
      </c>
      <c r="J496" s="6">
        <f>VLOOKUP($D496,Sheet1!$A$5:$C$192,3,TRUE)</f>
        <v>2</v>
      </c>
      <c r="K496" s="42" t="str">
        <f>VLOOKUP($D496,Sheet1!$A$5:$C$192,2,TRUE)</f>
        <v>)|(</v>
      </c>
      <c r="L496" s="6">
        <f>FLOOR(VLOOKUP($D496,Sheet1!$D$5:$F$192,3,TRUE),1)</f>
        <v>5</v>
      </c>
      <c r="M496" s="42" t="str">
        <f>VLOOKUP($D496,Sheet1!$D$5:$F$192,2,TRUE)</f>
        <v>)~|</v>
      </c>
      <c r="N496" s="23">
        <f>FLOOR(VLOOKUP($D496,Sheet1!$G$5:$I$192,3,TRUE),1)</f>
        <v>6</v>
      </c>
      <c r="O496" s="42" t="str">
        <f>VLOOKUP($D496,Sheet1!$G$5:$I$192,2,TRUE)</f>
        <v>.~|(</v>
      </c>
      <c r="P496" s="23">
        <v>1</v>
      </c>
      <c r="Q496" s="43" t="str">
        <f>VLOOKUP($D496,Sheet1!$J$5:$L$192,2,TRUE)</f>
        <v>.~|('</v>
      </c>
      <c r="R496" s="23">
        <f>FLOOR(VLOOKUP($D496,Sheet1!$M$5:$O$192,3,TRUE),1)</f>
        <v>27</v>
      </c>
      <c r="S496" s="42" t="str">
        <f>VLOOKUP($D496,Sheet1!$M$5:$O$192,2,TRUE)</f>
        <v>.~|('</v>
      </c>
      <c r="T496" s="117">
        <f>IF(ABS(D496-VLOOKUP($D496,Sheet1!$M$5:$T$192,8,TRUE))&lt;10^-10,"SoCA",D496-VLOOKUP($D496,Sheet1!$M$5:$T$192,8,TRUE))</f>
        <v>0.16925992087544728</v>
      </c>
      <c r="U496" s="109">
        <f>IF(VLOOKUP($D496,Sheet1!$M$5:$U$192,9,TRUE)=0,"",IF(ABS(D496-VLOOKUP($D496,Sheet1!$M$5:$U$192,9,TRUE))&lt;10^-10,"Alt.",D496-VLOOKUP($D496,Sheet1!$M$5:$U$192,9,TRUE)))</f>
        <v>0.1962202160778812</v>
      </c>
      <c r="V496" s="132">
        <f>$D496-Sheet1!$M$3*$R496</f>
        <v>0.19487014101206945</v>
      </c>
      <c r="Z496" s="6"/>
      <c r="AA496" s="61"/>
    </row>
    <row r="497" spans="1:27" ht="13.5">
      <c r="A497" s="6" t="s">
        <v>472</v>
      </c>
      <c r="B497" s="6">
        <f>5^7</f>
        <v>78125</v>
      </c>
      <c r="C497" s="6">
        <f>2^2*3^9</f>
        <v>78732</v>
      </c>
      <c r="D497" s="13">
        <f t="shared" si="11"/>
        <v>13.399010734643113</v>
      </c>
      <c r="E497" s="61">
        <v>5</v>
      </c>
      <c r="F497" s="65">
        <v>91.989147265982297</v>
      </c>
      <c r="G497" s="6">
        <v>284</v>
      </c>
      <c r="H497" s="6">
        <v>310</v>
      </c>
      <c r="I497" s="65">
        <v>8.1749740938142015</v>
      </c>
      <c r="J497" s="6">
        <f>VLOOKUP($D497,Sheet1!$A$5:$C$192,3,TRUE)</f>
        <v>2</v>
      </c>
      <c r="K497" s="42" t="str">
        <f>VLOOKUP($D497,Sheet1!$A$5:$C$192,2,TRUE)</f>
        <v>)|(</v>
      </c>
      <c r="L497" s="6">
        <f>FLOOR(VLOOKUP($D497,Sheet1!$D$5:$F$192,3,TRUE),1)</f>
        <v>5</v>
      </c>
      <c r="M497" s="42" t="str">
        <f>VLOOKUP($D497,Sheet1!$D$5:$F$192,2,TRUE)</f>
        <v>)~|</v>
      </c>
      <c r="N497" s="23">
        <f>FLOOR(VLOOKUP($D497,Sheet1!$G$5:$I$192,3,TRUE),1)</f>
        <v>6</v>
      </c>
      <c r="O497" s="42" t="str">
        <f>VLOOKUP($D497,Sheet1!$G$5:$I$192,2,TRUE)</f>
        <v>.~|(</v>
      </c>
      <c r="P497" s="23">
        <v>1</v>
      </c>
      <c r="Q497" s="43" t="str">
        <f>VLOOKUP($D497,Sheet1!$J$5:$L$192,2,TRUE)</f>
        <v>.~|('</v>
      </c>
      <c r="R497" s="23">
        <f>FLOOR(VLOOKUP($D497,Sheet1!$M$5:$O$192,3,TRUE),1)</f>
        <v>27</v>
      </c>
      <c r="S497" s="42" t="str">
        <f>VLOOKUP($D497,Sheet1!$M$5:$O$192,2,TRUE)</f>
        <v>.~|('</v>
      </c>
      <c r="T497" s="117">
        <f>IF(ABS(D497-VLOOKUP($D497,Sheet1!$M$5:$T$192,8,TRUE))&lt;10^-10,"SoCA",D497-VLOOKUP($D497,Sheet1!$M$5:$T$192,8,TRUE))</f>
        <v>0.19960152927806973</v>
      </c>
      <c r="U497" s="109">
        <f>IF(VLOOKUP($D497,Sheet1!$M$5:$U$192,9,TRUE)=0,"",IF(ABS(D497-VLOOKUP($D497,Sheet1!$M$5:$U$192,9,TRUE))&lt;10^-10,"Alt.",D497-VLOOKUP($D497,Sheet1!$M$5:$U$192,9,TRUE)))</f>
        <v>0.22656182448050366</v>
      </c>
      <c r="V497" s="132">
        <f>$D497-Sheet1!$M$3*$R497</f>
        <v>0.22521174941469191</v>
      </c>
      <c r="Z497" s="6"/>
      <c r="AA497" s="61"/>
    </row>
    <row r="498" spans="1:27" ht="13.5">
      <c r="A498" t="s">
        <v>1240</v>
      </c>
      <c r="B498">
        <v>4194304</v>
      </c>
      <c r="C498">
        <v>4226013</v>
      </c>
      <c r="D498" s="13">
        <f t="shared" si="11"/>
        <v>13.038929521738755</v>
      </c>
      <c r="E498" s="61">
        <v>31</v>
      </c>
      <c r="F498" s="65">
        <v>95.543265106905352</v>
      </c>
      <c r="G498" s="6">
        <v>1148</v>
      </c>
      <c r="H498" s="6">
        <v>1089</v>
      </c>
      <c r="I498" s="65">
        <v>5.1971456059400039</v>
      </c>
      <c r="J498" s="6">
        <f>VLOOKUP($D498,Sheet1!$A$5:$C$192,3,TRUE)</f>
        <v>2</v>
      </c>
      <c r="K498" s="42" t="str">
        <f>VLOOKUP($D498,Sheet1!$A$5:$C$192,2,TRUE)</f>
        <v>)|(</v>
      </c>
      <c r="L498" s="6">
        <f>FLOOR(VLOOKUP($D498,Sheet1!$D$5:$F$192,3,TRUE),1)</f>
        <v>5</v>
      </c>
      <c r="M498" s="42" t="str">
        <f>VLOOKUP($D498,Sheet1!$D$5:$F$192,2,TRUE)</f>
        <v>)~|</v>
      </c>
      <c r="N498" s="23">
        <f>FLOOR(VLOOKUP($D498,Sheet1!$G$5:$I$192,3,TRUE),1)</f>
        <v>6</v>
      </c>
      <c r="O498" s="42" t="str">
        <f>VLOOKUP($D498,Sheet1!$G$5:$I$192,2,TRUE)</f>
        <v>.~|(</v>
      </c>
      <c r="P498" s="23">
        <v>1</v>
      </c>
      <c r="Q498" s="43" t="str">
        <f>VLOOKUP($D498,Sheet1!$J$5:$L$192,2,TRUE)</f>
        <v>.~|('</v>
      </c>
      <c r="R498" s="23">
        <f>FLOOR(VLOOKUP($D498,Sheet1!$M$5:$O$192,3,TRUE),1)</f>
        <v>27</v>
      </c>
      <c r="S498" s="42" t="str">
        <f>VLOOKUP($D498,Sheet1!$M$5:$O$192,2,TRUE)</f>
        <v>)~|''</v>
      </c>
      <c r="T498" s="117">
        <f>IF(ABS(D498-VLOOKUP($D498,Sheet1!$M$5:$T$192,8,TRUE))&lt;10^-10,"SoCA",D498-VLOOKUP($D498,Sheet1!$M$5:$T$192,8,TRUE))</f>
        <v>0.14200772092945435</v>
      </c>
      <c r="U498" s="109">
        <f>IF(VLOOKUP($D498,Sheet1!$M$5:$U$192,9,TRUE)=0,"",IF(ABS(D498-VLOOKUP($D498,Sheet1!$M$5:$U$192,9,TRUE))&lt;10^-10,"Alt.",D498-VLOOKUP($D498,Sheet1!$M$5:$U$192,9,TRUE)))</f>
        <v>0.15605988832391127</v>
      </c>
      <c r="V498" s="132">
        <f>$D498-Sheet1!$M$3*$R498</f>
        <v>-0.13486946348966633</v>
      </c>
      <c r="Z498" s="6"/>
      <c r="AA498" s="61"/>
    </row>
    <row r="499" spans="1:27" ht="13.5">
      <c r="A499" s="6" t="s">
        <v>1811</v>
      </c>
      <c r="B499">
        <v>8325909</v>
      </c>
      <c r="C499">
        <v>8388608</v>
      </c>
      <c r="D499" s="13">
        <f t="shared" si="11"/>
        <v>12.988368467573537</v>
      </c>
      <c r="E499" s="61">
        <v>47</v>
      </c>
      <c r="F499" s="65">
        <v>116.73972635148851</v>
      </c>
      <c r="G499" s="59">
        <v>1103</v>
      </c>
      <c r="H499" s="63">
        <v>1000016</v>
      </c>
      <c r="I499" s="65">
        <v>-11.799741165751094</v>
      </c>
      <c r="J499" s="6">
        <f>VLOOKUP($D499,Sheet1!$A$5:$C$192,3,TRUE)</f>
        <v>2</v>
      </c>
      <c r="K499" s="42" t="str">
        <f>VLOOKUP($D499,Sheet1!$A$5:$C$192,2,TRUE)</f>
        <v>)|(</v>
      </c>
      <c r="L499" s="6">
        <f>FLOOR(VLOOKUP($D499,Sheet1!$D$5:$F$192,3,TRUE),1)</f>
        <v>5</v>
      </c>
      <c r="M499" s="42" t="str">
        <f>VLOOKUP($D499,Sheet1!$D$5:$F$192,2,TRUE)</f>
        <v>)~|</v>
      </c>
      <c r="N499" s="23">
        <f>FLOOR(VLOOKUP($D499,Sheet1!$G$5:$I$192,3,TRUE),1)</f>
        <v>6</v>
      </c>
      <c r="O499" s="42" t="str">
        <f>VLOOKUP($D499,Sheet1!$G$5:$I$192,2,TRUE)</f>
        <v>.~|(</v>
      </c>
      <c r="P499" s="23">
        <v>1</v>
      </c>
      <c r="Q499" s="43" t="str">
        <f>VLOOKUP($D499,Sheet1!$J$5:$L$192,2,TRUE)</f>
        <v>.~|('</v>
      </c>
      <c r="R499" s="23">
        <f>FLOOR(VLOOKUP($D499,Sheet1!$M$5:$O$192,3,TRUE),1)</f>
        <v>27</v>
      </c>
      <c r="S499" s="42" t="str">
        <f>VLOOKUP($D499,Sheet1!$M$5:$O$192,2,TRUE)</f>
        <v>)~|''</v>
      </c>
      <c r="T499" s="117">
        <f>IF(ABS(D499-VLOOKUP($D499,Sheet1!$M$5:$T$192,8,TRUE))&lt;10^-10,"SoCA",D499-VLOOKUP($D499,Sheet1!$M$5:$T$192,8,TRUE))</f>
        <v>9.1446666764236184E-2</v>
      </c>
      <c r="U499" s="109">
        <f>IF(VLOOKUP($D499,Sheet1!$M$5:$U$192,9,TRUE)=0,"",IF(ABS(D499-VLOOKUP($D499,Sheet1!$M$5:$U$192,9,TRUE))&lt;10^-10,"Alt.",D499-VLOOKUP($D499,Sheet1!$M$5:$U$192,9,TRUE)))</f>
        <v>0.1054988341586931</v>
      </c>
      <c r="V499" s="132">
        <f>$D499-Sheet1!$M$3*$R499</f>
        <v>-0.1854305176548845</v>
      </c>
      <c r="Z499" s="6"/>
      <c r="AA499" s="61"/>
    </row>
    <row r="500" spans="1:27" ht="13.5">
      <c r="A500" t="s">
        <v>1043</v>
      </c>
      <c r="B500">
        <v>3296</v>
      </c>
      <c r="C500">
        <v>3321</v>
      </c>
      <c r="D500" s="13">
        <f t="shared" si="11"/>
        <v>13.081776383388016</v>
      </c>
      <c r="E500" s="61" t="s">
        <v>1931</v>
      </c>
      <c r="F500" s="65">
        <v>144.34626401391017</v>
      </c>
      <c r="G500" s="6">
        <v>961</v>
      </c>
      <c r="H500" s="6">
        <v>891</v>
      </c>
      <c r="I500" s="65">
        <v>3.1945073685686434</v>
      </c>
      <c r="J500" s="6">
        <f>VLOOKUP($D500,Sheet1!$A$5:$C$192,3,TRUE)</f>
        <v>2</v>
      </c>
      <c r="K500" s="42" t="str">
        <f>VLOOKUP($D500,Sheet1!$A$5:$C$192,2,TRUE)</f>
        <v>)|(</v>
      </c>
      <c r="L500" s="6">
        <f>FLOOR(VLOOKUP($D500,Sheet1!$D$5:$F$192,3,TRUE),1)</f>
        <v>5</v>
      </c>
      <c r="M500" s="42" t="str">
        <f>VLOOKUP($D500,Sheet1!$D$5:$F$192,2,TRUE)</f>
        <v>)~|</v>
      </c>
      <c r="N500" s="23">
        <f>FLOOR(VLOOKUP($D500,Sheet1!$G$5:$I$192,3,TRUE),1)</f>
        <v>6</v>
      </c>
      <c r="O500" s="42" t="str">
        <f>VLOOKUP($D500,Sheet1!$G$5:$I$192,2,TRUE)</f>
        <v>.~|(</v>
      </c>
      <c r="P500" s="23">
        <v>1</v>
      </c>
      <c r="Q500" s="43" t="str">
        <f>VLOOKUP($D500,Sheet1!$J$5:$L$192,2,TRUE)</f>
        <v>.~|('</v>
      </c>
      <c r="R500" s="23">
        <f>FLOOR(VLOOKUP($D500,Sheet1!$M$5:$O$192,3,TRUE),1)</f>
        <v>27</v>
      </c>
      <c r="S500" s="42" t="str">
        <f>VLOOKUP($D500,Sheet1!$M$5:$O$192,2,TRUE)</f>
        <v>)~|''</v>
      </c>
      <c r="T500" s="117">
        <f>IF(ABS(D500-VLOOKUP($D500,Sheet1!$M$5:$T$192,8,TRUE))&lt;10^-10,"SoCA",D500-VLOOKUP($D500,Sheet1!$M$5:$T$192,8,TRUE))</f>
        <v>0.18485458257871556</v>
      </c>
      <c r="U500" s="109">
        <f>IF(VLOOKUP($D500,Sheet1!$M$5:$U$192,9,TRUE)=0,"",IF(ABS(D500-VLOOKUP($D500,Sheet1!$M$5:$U$192,9,TRUE))&lt;10^-10,"Alt.",D500-VLOOKUP($D500,Sheet1!$M$5:$U$192,9,TRUE)))</f>
        <v>0.19890674997317248</v>
      </c>
      <c r="V500" s="132">
        <f>$D500-Sheet1!$M$3*$R500</f>
        <v>-9.2022601840405116E-2</v>
      </c>
      <c r="Z500" s="6"/>
      <c r="AA500" s="61"/>
    </row>
    <row r="501" spans="1:27" ht="13.5">
      <c r="A501" t="s">
        <v>841</v>
      </c>
      <c r="B501">
        <v>920</v>
      </c>
      <c r="C501">
        <v>927</v>
      </c>
      <c r="D501" s="13">
        <f t="shared" si="11"/>
        <v>13.12257321738665</v>
      </c>
      <c r="E501" s="61" t="s">
        <v>1931</v>
      </c>
      <c r="F501" s="65">
        <v>157.28489232475499</v>
      </c>
      <c r="G501" s="6">
        <v>712</v>
      </c>
      <c r="H501" s="6">
        <v>688</v>
      </c>
      <c r="I501" s="65">
        <v>1.1919953588683889</v>
      </c>
      <c r="J501" s="6">
        <f>VLOOKUP($D501,Sheet1!$A$5:$C$192,3,TRUE)</f>
        <v>2</v>
      </c>
      <c r="K501" s="42" t="str">
        <f>VLOOKUP($D501,Sheet1!$A$5:$C$192,2,TRUE)</f>
        <v>)|(</v>
      </c>
      <c r="L501" s="6">
        <f>FLOOR(VLOOKUP($D501,Sheet1!$D$5:$F$192,3,TRUE),1)</f>
        <v>5</v>
      </c>
      <c r="M501" s="42" t="str">
        <f>VLOOKUP($D501,Sheet1!$D$5:$F$192,2,TRUE)</f>
        <v>)~|</v>
      </c>
      <c r="N501" s="23">
        <f>FLOOR(VLOOKUP($D501,Sheet1!$G$5:$I$192,3,TRUE),1)</f>
        <v>6</v>
      </c>
      <c r="O501" s="42" t="str">
        <f>VLOOKUP($D501,Sheet1!$G$5:$I$192,2,TRUE)</f>
        <v>.~|(</v>
      </c>
      <c r="P501" s="23">
        <v>1</v>
      </c>
      <c r="Q501" s="43" t="str">
        <f>VLOOKUP($D501,Sheet1!$J$5:$L$192,2,TRUE)</f>
        <v>.~|('</v>
      </c>
      <c r="R501" s="23">
        <f>FLOOR(VLOOKUP($D501,Sheet1!$M$5:$O$192,3,TRUE),1)</f>
        <v>27</v>
      </c>
      <c r="S501" s="42" t="str">
        <f>VLOOKUP($D501,Sheet1!$M$5:$O$192,2,TRUE)</f>
        <v>)~|''</v>
      </c>
      <c r="T501" s="117">
        <f>IF(ABS(D501-VLOOKUP($D501,Sheet1!$M$5:$T$192,8,TRUE))&lt;10^-10,"SoCA",D501-VLOOKUP($D501,Sheet1!$M$5:$T$192,8,TRUE))</f>
        <v>0.22565141657734955</v>
      </c>
      <c r="U501" s="109">
        <f>IF(VLOOKUP($D501,Sheet1!$M$5:$U$192,9,TRUE)=0,"",IF(ABS(D501-VLOOKUP($D501,Sheet1!$M$5:$U$192,9,TRUE))&lt;10^-10,"Alt.",D501-VLOOKUP($D501,Sheet1!$M$5:$U$192,9,TRUE)))</f>
        <v>0.23970358397180647</v>
      </c>
      <c r="V501" s="132">
        <f>$D501-Sheet1!$M$3*$R501</f>
        <v>-5.122576784177113E-2</v>
      </c>
      <c r="Z501" s="6"/>
      <c r="AA501" s="61"/>
    </row>
    <row r="502" spans="1:27" ht="13.5">
      <c r="A502" t="s">
        <v>1750</v>
      </c>
      <c r="B502">
        <v>29360128</v>
      </c>
      <c r="C502">
        <v>29583549</v>
      </c>
      <c r="D502" s="13">
        <f t="shared" si="11"/>
        <v>13.124254018999228</v>
      </c>
      <c r="E502" s="61" t="s">
        <v>1931</v>
      </c>
      <c r="F502" s="65">
        <v>219.95347892820814</v>
      </c>
      <c r="G502" s="6">
        <v>1646</v>
      </c>
      <c r="H502" s="6">
        <v>1599</v>
      </c>
      <c r="I502" s="65">
        <v>10.191891865789609</v>
      </c>
      <c r="J502" s="6">
        <f>VLOOKUP($D502,Sheet1!$A$5:$C$192,3,TRUE)</f>
        <v>2</v>
      </c>
      <c r="K502" s="42" t="str">
        <f>VLOOKUP($D502,Sheet1!$A$5:$C$192,2,TRUE)</f>
        <v>)|(</v>
      </c>
      <c r="L502" s="6">
        <f>FLOOR(VLOOKUP($D502,Sheet1!$D$5:$F$192,3,TRUE),1)</f>
        <v>5</v>
      </c>
      <c r="M502" s="42" t="str">
        <f>VLOOKUP($D502,Sheet1!$D$5:$F$192,2,TRUE)</f>
        <v>)~|</v>
      </c>
      <c r="N502" s="23">
        <f>FLOOR(VLOOKUP($D502,Sheet1!$G$5:$I$192,3,TRUE),1)</f>
        <v>6</v>
      </c>
      <c r="O502" s="42" t="str">
        <f>VLOOKUP($D502,Sheet1!$G$5:$I$192,2,TRUE)</f>
        <v>.~|(</v>
      </c>
      <c r="P502" s="23">
        <v>1</v>
      </c>
      <c r="Q502" s="43" t="str">
        <f>VLOOKUP($D502,Sheet1!$J$5:$L$192,2,TRUE)</f>
        <v>.~|('</v>
      </c>
      <c r="R502" s="23">
        <f>FLOOR(VLOOKUP($D502,Sheet1!$M$5:$O$192,3,TRUE),1)</f>
        <v>27</v>
      </c>
      <c r="S502" s="42" t="str">
        <f>VLOOKUP($D502,Sheet1!$M$5:$O$192,2,TRUE)</f>
        <v>)~|''</v>
      </c>
      <c r="T502" s="117">
        <f>IF(ABS(D502-VLOOKUP($D502,Sheet1!$M$5:$T$192,8,TRUE))&lt;10^-10,"SoCA",D502-VLOOKUP($D502,Sheet1!$M$5:$T$192,8,TRUE))</f>
        <v>0.2273322181899271</v>
      </c>
      <c r="U502" s="109">
        <f>IF(VLOOKUP($D502,Sheet1!$M$5:$U$192,9,TRUE)=0,"",IF(ABS(D502-VLOOKUP($D502,Sheet1!$M$5:$U$192,9,TRUE))&lt;10^-10,"Alt.",D502-VLOOKUP($D502,Sheet1!$M$5:$U$192,9,TRUE)))</f>
        <v>0.24138438558438402</v>
      </c>
      <c r="V502" s="132">
        <f>$D502-Sheet1!$M$3*$R502</f>
        <v>-4.9544966229193577E-2</v>
      </c>
      <c r="Z502" s="6"/>
      <c r="AA502" s="61"/>
    </row>
    <row r="503" spans="1:27" ht="13.5">
      <c r="A503" t="s">
        <v>953</v>
      </c>
      <c r="B503">
        <v>12032</v>
      </c>
      <c r="C503">
        <v>12123</v>
      </c>
      <c r="D503" s="13">
        <f t="shared" si="11"/>
        <v>13.044342272373649</v>
      </c>
      <c r="E503" s="61" t="s">
        <v>1931</v>
      </c>
      <c r="F503" s="65">
        <v>496.21588368475312</v>
      </c>
      <c r="G503" s="6">
        <v>864</v>
      </c>
      <c r="H503" s="6">
        <v>801</v>
      </c>
      <c r="I503" s="65">
        <v>2.1968123231636896</v>
      </c>
      <c r="J503" s="6">
        <f>VLOOKUP($D503,Sheet1!$A$5:$C$192,3,TRUE)</f>
        <v>2</v>
      </c>
      <c r="K503" s="42" t="str">
        <f>VLOOKUP($D503,Sheet1!$A$5:$C$192,2,TRUE)</f>
        <v>)|(</v>
      </c>
      <c r="L503" s="6">
        <f>FLOOR(VLOOKUP($D503,Sheet1!$D$5:$F$192,3,TRUE),1)</f>
        <v>5</v>
      </c>
      <c r="M503" s="42" t="str">
        <f>VLOOKUP($D503,Sheet1!$D$5:$F$192,2,TRUE)</f>
        <v>)~|</v>
      </c>
      <c r="N503" s="23">
        <f>FLOOR(VLOOKUP($D503,Sheet1!$G$5:$I$192,3,TRUE),1)</f>
        <v>6</v>
      </c>
      <c r="O503" s="42" t="str">
        <f>VLOOKUP($D503,Sheet1!$G$5:$I$192,2,TRUE)</f>
        <v>.~|(</v>
      </c>
      <c r="P503" s="23">
        <v>1</v>
      </c>
      <c r="Q503" s="43" t="str">
        <f>VLOOKUP($D503,Sheet1!$J$5:$L$192,2,TRUE)</f>
        <v>.~|('</v>
      </c>
      <c r="R503" s="23">
        <f>FLOOR(VLOOKUP($D503,Sheet1!$M$5:$O$192,3,TRUE),1)</f>
        <v>27</v>
      </c>
      <c r="S503" s="42" t="str">
        <f>VLOOKUP($D503,Sheet1!$M$5:$O$192,2,TRUE)</f>
        <v>)~|''</v>
      </c>
      <c r="T503" s="117">
        <f>IF(ABS(D503-VLOOKUP($D503,Sheet1!$M$5:$T$192,8,TRUE))&lt;10^-10,"SoCA",D503-VLOOKUP($D503,Sheet1!$M$5:$T$192,8,TRUE))</f>
        <v>0.14742047156434879</v>
      </c>
      <c r="U503" s="109">
        <f>IF(VLOOKUP($D503,Sheet1!$M$5:$U$192,9,TRUE)=0,"",IF(ABS(D503-VLOOKUP($D503,Sheet1!$M$5:$U$192,9,TRUE))&lt;10^-10,"Alt.",D503-VLOOKUP($D503,Sheet1!$M$5:$U$192,9,TRUE)))</f>
        <v>0.1614726389588057</v>
      </c>
      <c r="V503" s="132">
        <f>$D503-Sheet1!$M$3*$R503</f>
        <v>-0.12945671285477189</v>
      </c>
      <c r="Z503" s="6"/>
      <c r="AA503" s="61"/>
    </row>
    <row r="504" spans="1:27" ht="13.5">
      <c r="A504" t="s">
        <v>1340</v>
      </c>
      <c r="B504">
        <v>6425366528</v>
      </c>
      <c r="C504">
        <v>6474042693</v>
      </c>
      <c r="D504" s="13">
        <f t="shared" si="11"/>
        <v>13.065750961283964</v>
      </c>
      <c r="E504" s="61" t="s">
        <v>1931</v>
      </c>
      <c r="F504" s="65">
        <v>4154516.6859481772</v>
      </c>
      <c r="G504" s="6">
        <v>1252</v>
      </c>
      <c r="H504" s="6">
        <v>1189</v>
      </c>
      <c r="I504" s="65">
        <v>6.1954941121913816</v>
      </c>
      <c r="J504" s="6">
        <f>VLOOKUP($D504,Sheet1!$A$5:$C$192,3,TRUE)</f>
        <v>2</v>
      </c>
      <c r="K504" s="42" t="str">
        <f>VLOOKUP($D504,Sheet1!$A$5:$C$192,2,TRUE)</f>
        <v>)|(</v>
      </c>
      <c r="L504" s="6">
        <f>FLOOR(VLOOKUP($D504,Sheet1!$D$5:$F$192,3,TRUE),1)</f>
        <v>5</v>
      </c>
      <c r="M504" s="42" t="str">
        <f>VLOOKUP($D504,Sheet1!$D$5:$F$192,2,TRUE)</f>
        <v>)~|</v>
      </c>
      <c r="N504" s="23">
        <f>FLOOR(VLOOKUP($D504,Sheet1!$G$5:$I$192,3,TRUE),1)</f>
        <v>6</v>
      </c>
      <c r="O504" s="42" t="str">
        <f>VLOOKUP($D504,Sheet1!$G$5:$I$192,2,TRUE)</f>
        <v>.~|(</v>
      </c>
      <c r="P504" s="23">
        <v>1</v>
      </c>
      <c r="Q504" s="43" t="str">
        <f>VLOOKUP($D504,Sheet1!$J$5:$L$192,2,TRUE)</f>
        <v>.~|('</v>
      </c>
      <c r="R504" s="23">
        <f>FLOOR(VLOOKUP($D504,Sheet1!$M$5:$O$192,3,TRUE),1)</f>
        <v>27</v>
      </c>
      <c r="S504" s="42" t="str">
        <f>VLOOKUP($D504,Sheet1!$M$5:$O$192,2,TRUE)</f>
        <v>)~|''</v>
      </c>
      <c r="T504" s="117">
        <f>IF(ABS(D504-VLOOKUP($D504,Sheet1!$M$5:$T$192,8,TRUE))&lt;10^-10,"SoCA",D504-VLOOKUP($D504,Sheet1!$M$5:$T$192,8,TRUE))</f>
        <v>0.16882916047466345</v>
      </c>
      <c r="U504" s="109">
        <f>IF(VLOOKUP($D504,Sheet1!$M$5:$U$192,9,TRUE)=0,"",IF(ABS(D504-VLOOKUP($D504,Sheet1!$M$5:$U$192,9,TRUE))&lt;10^-10,"Alt.",D504-VLOOKUP($D504,Sheet1!$M$5:$U$192,9,TRUE)))</f>
        <v>0.18288132786912037</v>
      </c>
      <c r="V504" s="132">
        <f>$D504-Sheet1!$M$3*$R504</f>
        <v>-0.10804802394445723</v>
      </c>
      <c r="Z504" s="6"/>
      <c r="AA504" s="61"/>
    </row>
    <row r="505" spans="1:27" ht="13.5">
      <c r="A505" s="87" t="s">
        <v>59</v>
      </c>
      <c r="B505" s="87">
        <f>5^3</f>
        <v>125</v>
      </c>
      <c r="C505" s="87">
        <f>2*3^2*7</f>
        <v>126</v>
      </c>
      <c r="D505" s="13">
        <f t="shared" si="11"/>
        <v>13.794766605395326</v>
      </c>
      <c r="E505" s="61">
        <v>7</v>
      </c>
      <c r="F505" s="65">
        <v>30.854601131635526</v>
      </c>
      <c r="G505" s="6">
        <v>50</v>
      </c>
      <c r="H505" s="6">
        <v>45</v>
      </c>
      <c r="I505" s="65">
        <v>1.1506059630348515</v>
      </c>
      <c r="J505" s="6">
        <f>VLOOKUP($D505,Sheet1!$A$5:$C$192,3,TRUE)</f>
        <v>3</v>
      </c>
      <c r="K505" s="42" t="str">
        <f>VLOOKUP($D505,Sheet1!$A$5:$C$192,2,TRUE)</f>
        <v>~|(</v>
      </c>
      <c r="L505" s="6">
        <f>FLOOR(VLOOKUP($D505,Sheet1!$D$5:$F$192,3,TRUE),1)</f>
        <v>6</v>
      </c>
      <c r="M505" s="42" t="str">
        <f>VLOOKUP($D505,Sheet1!$D$5:$F$192,2,TRUE)</f>
        <v>~|(</v>
      </c>
      <c r="N505" s="23">
        <f>FLOOR(VLOOKUP($D505,Sheet1!$G$5:$I$192,3,TRUE),1)</f>
        <v>7</v>
      </c>
      <c r="O505" s="42" t="str">
        <f>VLOOKUP($D505,Sheet1!$G$5:$I$192,2,TRUE)</f>
        <v>~|(</v>
      </c>
      <c r="P505" s="23">
        <v>1</v>
      </c>
      <c r="Q505" s="45" t="str">
        <f>VLOOKUP($D505,Sheet1!$J$5:$L$192,2,TRUE)</f>
        <v>~|(..</v>
      </c>
      <c r="R505" s="38">
        <f>FLOOR(VLOOKUP($D505,Sheet1!$M$5:$O$192,3,TRUE),1)</f>
        <v>28</v>
      </c>
      <c r="S505" s="45" t="str">
        <f>VLOOKUP($D505,Sheet1!$M$5:$O$192,2,TRUE)</f>
        <v>~|(..</v>
      </c>
      <c r="T505" s="108">
        <f>IF(ABS(D505-VLOOKUP($D505,Sheet1!$M$5:$T$192,8,TRUE))&lt;10^-10,"SoCA",D505-VLOOKUP($D505,Sheet1!$M$5:$T$192,8,TRUE))</f>
        <v>-0.10312301784745337</v>
      </c>
      <c r="U505" s="108">
        <f>IF(VLOOKUP($D505,Sheet1!$M$5:$U$192,9,TRUE)=0,"",IF(ABS(D505-VLOOKUP($D505,Sheet1!$M$5:$U$192,9,TRUE))&lt;10^-10,"Alt.",D505-VLOOKUP($D505,Sheet1!$M$5:$U$192,9,TRUE)))</f>
        <v>-0.11717518524191028</v>
      </c>
      <c r="V505" s="133">
        <f>$D505-Sheet1!$M$3*$R505</f>
        <v>0.13304913923252037</v>
      </c>
      <c r="Z505" s="6"/>
      <c r="AA505" s="61"/>
    </row>
    <row r="506" spans="1:27" ht="13.5">
      <c r="A506" s="21" t="s">
        <v>285</v>
      </c>
      <c r="B506" s="21">
        <f>3^4*7^2</f>
        <v>3969</v>
      </c>
      <c r="C506" s="21">
        <f>2^5*5^3</f>
        <v>4000</v>
      </c>
      <c r="D506" s="13">
        <f t="shared" si="11"/>
        <v>13.469325194704881</v>
      </c>
      <c r="E506" s="61">
        <v>7</v>
      </c>
      <c r="F506" s="65">
        <v>35.221427208142998</v>
      </c>
      <c r="G506" s="6">
        <v>114</v>
      </c>
      <c r="H506" s="6">
        <v>109</v>
      </c>
      <c r="I506" s="65">
        <v>-4.829355423661327</v>
      </c>
      <c r="J506" s="6">
        <f>VLOOKUP($D506,Sheet1!$A$5:$C$192,3,TRUE)</f>
        <v>3</v>
      </c>
      <c r="K506" s="42" t="str">
        <f>VLOOKUP($D506,Sheet1!$A$5:$C$192,2,TRUE)</f>
        <v>~|(</v>
      </c>
      <c r="L506" s="6">
        <f>FLOOR(VLOOKUP($D506,Sheet1!$D$5:$F$192,3,TRUE),1)</f>
        <v>6</v>
      </c>
      <c r="M506" s="42" t="str">
        <f>VLOOKUP($D506,Sheet1!$D$5:$F$192,2,TRUE)</f>
        <v>~|(</v>
      </c>
      <c r="N506" s="23">
        <f>FLOOR(VLOOKUP($D506,Sheet1!$G$5:$I$192,3,TRUE),1)</f>
        <v>7</v>
      </c>
      <c r="O506" s="42" t="str">
        <f>VLOOKUP($D506,Sheet1!$G$5:$I$192,2,TRUE)</f>
        <v>~|(</v>
      </c>
      <c r="P506" s="23">
        <v>1</v>
      </c>
      <c r="Q506" s="43" t="str">
        <f>VLOOKUP($D506,Sheet1!$J$5:$L$192,2,TRUE)</f>
        <v>~|(..</v>
      </c>
      <c r="R506" s="23">
        <f>FLOOR(VLOOKUP($D506,Sheet1!$M$5:$O$192,3,TRUE),1)</f>
        <v>28</v>
      </c>
      <c r="S506" s="43" t="str">
        <f>VLOOKUP($D506,Sheet1!$M$5:$O$192,2,TRUE)</f>
        <v>.~|(''</v>
      </c>
      <c r="T506" s="117">
        <f>IF(ABS(D506-VLOOKUP($D506,Sheet1!$M$5:$T$192,8,TRUE))&lt;10^-10,"SoCA",D506-VLOOKUP($D506,Sheet1!$M$5:$T$192,8,TRUE))</f>
        <v>-0.13989204880693684</v>
      </c>
      <c r="U506" s="117">
        <f>IF(VLOOKUP($D506,Sheet1!$M$5:$U$192,9,TRUE)=0,"",IF(ABS(D506-VLOOKUP($D506,Sheet1!$M$5:$U$192,9,TRUE))&lt;10^-10,"Alt.",D506-VLOOKUP($D506,Sheet1!$M$5:$U$192,9,TRUE)))</f>
        <v>-0.12583988141247993</v>
      </c>
      <c r="V506" s="132">
        <f>$D506-Sheet1!$M$3*$R506</f>
        <v>-0.19239227145792448</v>
      </c>
      <c r="Z506" s="6"/>
      <c r="AA506" s="61"/>
    </row>
    <row r="507" spans="1:27" ht="13.5">
      <c r="A507" s="52" t="s">
        <v>269</v>
      </c>
      <c r="B507" s="52">
        <f>2^7</f>
        <v>128</v>
      </c>
      <c r="C507" s="52">
        <f>3*43</f>
        <v>129</v>
      </c>
      <c r="D507" s="13">
        <f t="shared" si="11"/>
        <v>13.472706507904944</v>
      </c>
      <c r="E507" s="61">
        <v>43</v>
      </c>
      <c r="F507" s="65">
        <v>51.632862065399308</v>
      </c>
      <c r="G507" s="6">
        <v>79</v>
      </c>
      <c r="H507" s="6">
        <v>71</v>
      </c>
      <c r="I507" s="65">
        <v>0.17043637656615085</v>
      </c>
      <c r="J507" s="6">
        <f>VLOOKUP($D507,Sheet1!$A$5:$C$192,3,TRUE)</f>
        <v>3</v>
      </c>
      <c r="K507" s="42" t="str">
        <f>VLOOKUP($D507,Sheet1!$A$5:$C$192,2,TRUE)</f>
        <v>~|(</v>
      </c>
      <c r="L507" s="6">
        <f>FLOOR(VLOOKUP($D507,Sheet1!$D$5:$F$192,3,TRUE),1)</f>
        <v>6</v>
      </c>
      <c r="M507" s="42" t="str">
        <f>VLOOKUP($D507,Sheet1!$D$5:$F$192,2,TRUE)</f>
        <v>~|(</v>
      </c>
      <c r="N507" s="23">
        <f>FLOOR(VLOOKUP($D507,Sheet1!$G$5:$I$192,3,TRUE),1)</f>
        <v>7</v>
      </c>
      <c r="O507" s="42" t="str">
        <f>VLOOKUP($D507,Sheet1!$G$5:$I$192,2,TRUE)</f>
        <v>~|(</v>
      </c>
      <c r="P507" s="23">
        <v>1</v>
      </c>
      <c r="Q507" s="43" t="str">
        <f>VLOOKUP($D507,Sheet1!$J$5:$L$192,2,TRUE)</f>
        <v>~|(..</v>
      </c>
      <c r="R507" s="40">
        <f>FLOOR(VLOOKUP($D507,Sheet1!$M$5:$O$192,3,TRUE),1)</f>
        <v>28</v>
      </c>
      <c r="S507" s="46" t="str">
        <f>VLOOKUP($D507,Sheet1!$M$5:$O$192,2,TRUE)</f>
        <v>.~|(''</v>
      </c>
      <c r="T507" s="115">
        <f>IF(ABS(D507-VLOOKUP($D507,Sheet1!$M$5:$T$192,8,TRUE))&lt;10^-10,"SoCA",D507-VLOOKUP($D507,Sheet1!$M$5:$T$192,8,TRUE))</f>
        <v>-0.13651073560687443</v>
      </c>
      <c r="U507" s="115">
        <f>IF(VLOOKUP($D507,Sheet1!$M$5:$U$192,9,TRUE)=0,"",IF(ABS(D507-VLOOKUP($D507,Sheet1!$M$5:$U$192,9,TRUE))&lt;10^-10,"Alt.",D507-VLOOKUP($D507,Sheet1!$M$5:$U$192,9,TRUE)))</f>
        <v>-0.12245856821241752</v>
      </c>
      <c r="V507" s="132">
        <f>$D507-Sheet1!$M$3*$R507</f>
        <v>-0.18901095825786207</v>
      </c>
      <c r="Z507" s="6"/>
      <c r="AA507" s="61"/>
    </row>
    <row r="508" spans="1:27" ht="13.5">
      <c r="A508" t="s">
        <v>806</v>
      </c>
      <c r="B508">
        <v>124</v>
      </c>
      <c r="C508">
        <v>125</v>
      </c>
      <c r="D508" s="13">
        <f t="shared" si="11"/>
        <v>13.905569130254191</v>
      </c>
      <c r="E508" s="61">
        <v>31</v>
      </c>
      <c r="F508" s="65">
        <v>64.430049764173873</v>
      </c>
      <c r="G508" s="6">
        <v>743</v>
      </c>
      <c r="H508" s="6">
        <v>652</v>
      </c>
      <c r="I508" s="65">
        <v>-0.85621655209628456</v>
      </c>
      <c r="J508" s="6">
        <f>VLOOKUP($D508,Sheet1!$A$5:$C$192,3,TRUE)</f>
        <v>3</v>
      </c>
      <c r="K508" s="42" t="str">
        <f>VLOOKUP($D508,Sheet1!$A$5:$C$192,2,TRUE)</f>
        <v>~|(</v>
      </c>
      <c r="L508" s="6">
        <f>FLOOR(VLOOKUP($D508,Sheet1!$D$5:$F$192,3,TRUE),1)</f>
        <v>6</v>
      </c>
      <c r="M508" s="42" t="str">
        <f>VLOOKUP($D508,Sheet1!$D$5:$F$192,2,TRUE)</f>
        <v>~|(</v>
      </c>
      <c r="N508" s="23">
        <f>FLOOR(VLOOKUP($D508,Sheet1!$G$5:$I$192,3,TRUE),1)</f>
        <v>7</v>
      </c>
      <c r="O508" s="42" t="str">
        <f>VLOOKUP($D508,Sheet1!$G$5:$I$192,2,TRUE)</f>
        <v>~|(</v>
      </c>
      <c r="P508" s="23">
        <v>1</v>
      </c>
      <c r="Q508" s="43" t="str">
        <f>VLOOKUP($D508,Sheet1!$J$5:$L$192,2,TRUE)</f>
        <v>~|(..</v>
      </c>
      <c r="R508" s="23">
        <f>FLOOR(VLOOKUP($D508,Sheet1!$M$5:$O$192,3,TRUE),1)</f>
        <v>28</v>
      </c>
      <c r="S508" s="42" t="str">
        <f>VLOOKUP($D508,Sheet1!$M$5:$O$192,2,TRUE)</f>
        <v>~|(..</v>
      </c>
      <c r="T508" s="117">
        <f>IF(ABS(D508-VLOOKUP($D508,Sheet1!$M$5:$T$192,8,TRUE))&lt;10^-10,"SoCA",D508-VLOOKUP($D508,Sheet1!$M$5:$T$192,8,TRUE))</f>
        <v>7.6795070114119568E-3</v>
      </c>
      <c r="U508" s="109">
        <f>IF(VLOOKUP($D508,Sheet1!$M$5:$U$192,9,TRUE)=0,"",IF(ABS(D508-VLOOKUP($D508,Sheet1!$M$5:$U$192,9,TRUE))&lt;10^-10,"Alt.",D508-VLOOKUP($D508,Sheet1!$M$5:$U$192,9,TRUE)))</f>
        <v>-6.3726603830449591E-3</v>
      </c>
      <c r="V508" s="132">
        <f>$D508-Sheet1!$M$3*$R508</f>
        <v>0.2438516640913857</v>
      </c>
      <c r="Z508" s="6"/>
      <c r="AA508" s="61"/>
    </row>
    <row r="509" spans="1:27" ht="13.5">
      <c r="A509" t="s">
        <v>1721</v>
      </c>
      <c r="B509">
        <v>19683</v>
      </c>
      <c r="C509">
        <v>19840</v>
      </c>
      <c r="D509" s="13">
        <f t="shared" si="11"/>
        <v>13.754278540598243</v>
      </c>
      <c r="E509" s="61">
        <v>31</v>
      </c>
      <c r="F509" s="65">
        <v>64.797075272793435</v>
      </c>
      <c r="G509" s="6">
        <v>1629</v>
      </c>
      <c r="H509" s="6">
        <v>1570</v>
      </c>
      <c r="I509" s="65">
        <v>-9.8469010393095413</v>
      </c>
      <c r="J509" s="6">
        <f>VLOOKUP($D509,Sheet1!$A$5:$C$192,3,TRUE)</f>
        <v>3</v>
      </c>
      <c r="K509" s="42" t="str">
        <f>VLOOKUP($D509,Sheet1!$A$5:$C$192,2,TRUE)</f>
        <v>~|(</v>
      </c>
      <c r="L509" s="6">
        <f>FLOOR(VLOOKUP($D509,Sheet1!$D$5:$F$192,3,TRUE),1)</f>
        <v>6</v>
      </c>
      <c r="M509" s="42" t="str">
        <f>VLOOKUP($D509,Sheet1!$D$5:$F$192,2,TRUE)</f>
        <v>~|(</v>
      </c>
      <c r="N509" s="23">
        <f>FLOOR(VLOOKUP($D509,Sheet1!$G$5:$I$192,3,TRUE),1)</f>
        <v>7</v>
      </c>
      <c r="O509" s="42" t="str">
        <f>VLOOKUP($D509,Sheet1!$G$5:$I$192,2,TRUE)</f>
        <v>~|(</v>
      </c>
      <c r="P509" s="23">
        <v>1</v>
      </c>
      <c r="Q509" s="43" t="str">
        <f>VLOOKUP($D509,Sheet1!$J$5:$L$192,2,TRUE)</f>
        <v>~|(..</v>
      </c>
      <c r="R509" s="23">
        <f>FLOOR(VLOOKUP($D509,Sheet1!$M$5:$O$192,3,TRUE),1)</f>
        <v>28</v>
      </c>
      <c r="S509" s="42" t="str">
        <f>VLOOKUP($D509,Sheet1!$M$5:$O$192,2,TRUE)</f>
        <v>~|(..</v>
      </c>
      <c r="T509" s="117">
        <f>IF(ABS(D509-VLOOKUP($D509,Sheet1!$M$5:$T$192,8,TRUE))&lt;10^-10,"SoCA",D509-VLOOKUP($D509,Sheet1!$M$5:$T$192,8,TRUE))</f>
        <v>-0.14361108264453648</v>
      </c>
      <c r="U509" s="109">
        <f>IF(VLOOKUP($D509,Sheet1!$M$5:$U$192,9,TRUE)=0,"",IF(ABS(D509-VLOOKUP($D509,Sheet1!$M$5:$U$192,9,TRUE))&lt;10^-10,"Alt.",D509-VLOOKUP($D509,Sheet1!$M$5:$U$192,9,TRUE)))</f>
        <v>-0.1576632500389934</v>
      </c>
      <c r="V509" s="132">
        <f>$D509-Sheet1!$M$3*$R509</f>
        <v>9.2561074435437263E-2</v>
      </c>
      <c r="Z509" s="6"/>
      <c r="AA509" s="61"/>
    </row>
    <row r="510" spans="1:27" ht="13.5">
      <c r="A510" t="s">
        <v>1432</v>
      </c>
      <c r="B510">
        <v>10240000</v>
      </c>
      <c r="C510">
        <v>10320453</v>
      </c>
      <c r="D510" s="13">
        <f t="shared" si="11"/>
        <v>13.548697962584075</v>
      </c>
      <c r="E510" s="61">
        <v>13</v>
      </c>
      <c r="F510" s="65">
        <v>70.462343904756949</v>
      </c>
      <c r="G510" s="6">
        <v>1348</v>
      </c>
      <c r="H510" s="6">
        <v>1281</v>
      </c>
      <c r="I510" s="65">
        <v>7.1657573058496142</v>
      </c>
      <c r="J510" s="6">
        <f>VLOOKUP($D510,Sheet1!$A$5:$C$192,3,TRUE)</f>
        <v>3</v>
      </c>
      <c r="K510" s="42" t="str">
        <f>VLOOKUP($D510,Sheet1!$A$5:$C$192,2,TRUE)</f>
        <v>~|(</v>
      </c>
      <c r="L510" s="6">
        <f>FLOOR(VLOOKUP($D510,Sheet1!$D$5:$F$192,3,TRUE),1)</f>
        <v>6</v>
      </c>
      <c r="M510" s="42" t="str">
        <f>VLOOKUP($D510,Sheet1!$D$5:$F$192,2,TRUE)</f>
        <v>~|(</v>
      </c>
      <c r="N510" s="23">
        <f>FLOOR(VLOOKUP($D510,Sheet1!$G$5:$I$192,3,TRUE),1)</f>
        <v>7</v>
      </c>
      <c r="O510" s="42" t="str">
        <f>VLOOKUP($D510,Sheet1!$G$5:$I$192,2,TRUE)</f>
        <v>~|(</v>
      </c>
      <c r="P510" s="23">
        <v>1</v>
      </c>
      <c r="Q510" s="43" t="str">
        <f>VLOOKUP($D510,Sheet1!$J$5:$L$192,2,TRUE)</f>
        <v>~|(..</v>
      </c>
      <c r="R510" s="23">
        <f>FLOOR(VLOOKUP($D510,Sheet1!$M$5:$O$192,3,TRUE),1)</f>
        <v>28</v>
      </c>
      <c r="S510" s="42" t="str">
        <f>VLOOKUP($D510,Sheet1!$M$5:$O$192,2,TRUE)</f>
        <v>.~|(''</v>
      </c>
      <c r="T510" s="117">
        <f>IF(ABS(D510-VLOOKUP($D510,Sheet1!$M$5:$T$192,8,TRUE))&lt;10^-10,"SoCA",D510-VLOOKUP($D510,Sheet1!$M$5:$T$192,8,TRUE))</f>
        <v>-6.0519280927742614E-2</v>
      </c>
      <c r="U510" s="109">
        <f>IF(VLOOKUP($D510,Sheet1!$M$5:$U$192,9,TRUE)=0,"",IF(ABS(D510-VLOOKUP($D510,Sheet1!$M$5:$U$192,9,TRUE))&lt;10^-10,"Alt.",D510-VLOOKUP($D510,Sheet1!$M$5:$U$192,9,TRUE)))</f>
        <v>-4.6467113533285698E-2</v>
      </c>
      <c r="V510" s="132">
        <f>$D510-Sheet1!$M$3*$R510</f>
        <v>-0.11301950357873025</v>
      </c>
      <c r="Z510" s="6"/>
      <c r="AA510" s="61"/>
    </row>
    <row r="511" spans="1:27" ht="13.5">
      <c r="A511" t="s">
        <v>500</v>
      </c>
      <c r="B511">
        <v>45568</v>
      </c>
      <c r="C511">
        <v>45927</v>
      </c>
      <c r="D511" s="13">
        <f t="shared" si="11"/>
        <v>13.58579623254715</v>
      </c>
      <c r="E511" s="61" t="s">
        <v>1931</v>
      </c>
      <c r="F511" s="65">
        <v>101.05758374487995</v>
      </c>
      <c r="G511" s="6">
        <v>337</v>
      </c>
      <c r="H511" s="6">
        <v>341</v>
      </c>
      <c r="I511" s="65">
        <v>7.1634730302116321</v>
      </c>
      <c r="J511" s="6">
        <f>VLOOKUP($D511,Sheet1!$A$5:$C$192,3,TRUE)</f>
        <v>3</v>
      </c>
      <c r="K511" s="42" t="str">
        <f>VLOOKUP($D511,Sheet1!$A$5:$C$192,2,TRUE)</f>
        <v>~|(</v>
      </c>
      <c r="L511" s="6">
        <f>FLOOR(VLOOKUP($D511,Sheet1!$D$5:$F$192,3,TRUE),1)</f>
        <v>6</v>
      </c>
      <c r="M511" s="42" t="str">
        <f>VLOOKUP($D511,Sheet1!$D$5:$F$192,2,TRUE)</f>
        <v>~|(</v>
      </c>
      <c r="N511" s="23">
        <f>FLOOR(VLOOKUP($D511,Sheet1!$G$5:$I$192,3,TRUE),1)</f>
        <v>7</v>
      </c>
      <c r="O511" s="42" t="str">
        <f>VLOOKUP($D511,Sheet1!$G$5:$I$192,2,TRUE)</f>
        <v>~|(</v>
      </c>
      <c r="P511" s="23">
        <v>1</v>
      </c>
      <c r="Q511" s="43" t="str">
        <f>VLOOKUP($D511,Sheet1!$J$5:$L$192,2,TRUE)</f>
        <v>~|(..</v>
      </c>
      <c r="R511" s="23">
        <f>FLOOR(VLOOKUP($D511,Sheet1!$M$5:$O$192,3,TRUE),1)</f>
        <v>28</v>
      </c>
      <c r="S511" s="42" t="str">
        <f>VLOOKUP($D511,Sheet1!$M$5:$O$192,2,TRUE)</f>
        <v>.~|(''</v>
      </c>
      <c r="T511" s="117">
        <f>IF(ABS(D511-VLOOKUP($D511,Sheet1!$M$5:$T$192,8,TRUE))&lt;10^-10,"SoCA",D511-VLOOKUP($D511,Sheet1!$M$5:$T$192,8,TRUE))</f>
        <v>-2.3421010964668199E-2</v>
      </c>
      <c r="U511" s="109">
        <f>IF(VLOOKUP($D511,Sheet1!$M$5:$U$192,9,TRUE)=0,"",IF(ABS(D511-VLOOKUP($D511,Sheet1!$M$5:$U$192,9,TRUE))&lt;10^-10,"Alt.",D511-VLOOKUP($D511,Sheet1!$M$5:$U$192,9,TRUE)))</f>
        <v>-9.3688435702112827E-3</v>
      </c>
      <c r="V511" s="132">
        <f>$D511-Sheet1!$M$3*$R511</f>
        <v>-7.5921233615655837E-2</v>
      </c>
      <c r="Z511" s="6"/>
      <c r="AA511" s="61"/>
    </row>
    <row r="512" spans="1:27" ht="13.5">
      <c r="A512" t="s">
        <v>1493</v>
      </c>
      <c r="B512">
        <v>1933312</v>
      </c>
      <c r="C512">
        <v>1948617</v>
      </c>
      <c r="D512" s="13">
        <f t="shared" si="11"/>
        <v>13.651292649808843</v>
      </c>
      <c r="E512" s="61" t="s">
        <v>1931</v>
      </c>
      <c r="F512" s="65">
        <v>107.70220522639214</v>
      </c>
      <c r="G512" s="6">
        <v>631</v>
      </c>
      <c r="H512" s="6">
        <v>1342</v>
      </c>
      <c r="I512" s="65">
        <v>10.15944017718439</v>
      </c>
      <c r="J512" s="6">
        <f>VLOOKUP($D512,Sheet1!$A$5:$C$192,3,TRUE)</f>
        <v>3</v>
      </c>
      <c r="K512" s="42" t="str">
        <f>VLOOKUP($D512,Sheet1!$A$5:$C$192,2,TRUE)</f>
        <v>~|(</v>
      </c>
      <c r="L512" s="6">
        <f>FLOOR(VLOOKUP($D512,Sheet1!$D$5:$F$192,3,TRUE),1)</f>
        <v>6</v>
      </c>
      <c r="M512" s="42" t="str">
        <f>VLOOKUP($D512,Sheet1!$D$5:$F$192,2,TRUE)</f>
        <v>~|(</v>
      </c>
      <c r="N512" s="23">
        <f>FLOOR(VLOOKUP($D512,Sheet1!$G$5:$I$192,3,TRUE),1)</f>
        <v>7</v>
      </c>
      <c r="O512" s="42" t="str">
        <f>VLOOKUP($D512,Sheet1!$G$5:$I$192,2,TRUE)</f>
        <v>~|(</v>
      </c>
      <c r="P512" s="23">
        <v>1</v>
      </c>
      <c r="Q512" s="43" t="str">
        <f>VLOOKUP($D512,Sheet1!$J$5:$L$192,2,TRUE)</f>
        <v>~|(..</v>
      </c>
      <c r="R512" s="23">
        <f>FLOOR(VLOOKUP($D512,Sheet1!$M$5:$O$192,3,TRUE),1)</f>
        <v>28</v>
      </c>
      <c r="S512" s="42" t="str">
        <f>VLOOKUP($D512,Sheet1!$M$5:$O$192,2,TRUE)</f>
        <v>~|(..</v>
      </c>
      <c r="T512" s="117">
        <f>IF(ABS(D512-VLOOKUP($D512,Sheet1!$M$5:$T$192,8,TRUE))&lt;10^-10,"SoCA",D512-VLOOKUP($D512,Sheet1!$M$5:$T$192,8,TRUE))</f>
        <v>-0.24659697343393638</v>
      </c>
      <c r="U512" s="109">
        <f>IF(VLOOKUP($D512,Sheet1!$M$5:$U$192,9,TRUE)=0,"",IF(ABS(D512-VLOOKUP($D512,Sheet1!$M$5:$U$192,9,TRUE))&lt;10^-10,"Alt.",D512-VLOOKUP($D512,Sheet1!$M$5:$U$192,9,TRUE)))</f>
        <v>-0.2606491408283933</v>
      </c>
      <c r="V512" s="132">
        <f>$D512-Sheet1!$M$3*$R512</f>
        <v>-1.042481635396264E-2</v>
      </c>
      <c r="Z512" s="6"/>
      <c r="AA512" s="61"/>
    </row>
    <row r="513" spans="1:27" ht="13.5">
      <c r="A513" t="s">
        <v>1235</v>
      </c>
      <c r="B513">
        <v>3616</v>
      </c>
      <c r="C513">
        <v>3645</v>
      </c>
      <c r="D513" s="13">
        <f t="shared" si="11"/>
        <v>13.828964158934156</v>
      </c>
      <c r="E513" s="61" t="s">
        <v>1931</v>
      </c>
      <c r="F513" s="65">
        <v>119.31535288136905</v>
      </c>
      <c r="G513" s="6">
        <v>1145</v>
      </c>
      <c r="H513" s="6">
        <v>1084</v>
      </c>
      <c r="I513" s="65">
        <v>5.148500295074995</v>
      </c>
      <c r="J513" s="6">
        <f>VLOOKUP($D513,Sheet1!$A$5:$C$192,3,TRUE)</f>
        <v>3</v>
      </c>
      <c r="K513" s="42" t="str">
        <f>VLOOKUP($D513,Sheet1!$A$5:$C$192,2,TRUE)</f>
        <v>~|(</v>
      </c>
      <c r="L513" s="6">
        <f>FLOOR(VLOOKUP($D513,Sheet1!$D$5:$F$192,3,TRUE),1)</f>
        <v>6</v>
      </c>
      <c r="M513" s="42" t="str">
        <f>VLOOKUP($D513,Sheet1!$D$5:$F$192,2,TRUE)</f>
        <v>~|(</v>
      </c>
      <c r="N513" s="23">
        <f>FLOOR(VLOOKUP($D513,Sheet1!$G$5:$I$192,3,TRUE),1)</f>
        <v>7</v>
      </c>
      <c r="O513" s="42" t="str">
        <f>VLOOKUP($D513,Sheet1!$G$5:$I$192,2,TRUE)</f>
        <v>~|(</v>
      </c>
      <c r="P513" s="23">
        <v>1</v>
      </c>
      <c r="Q513" s="43" t="str">
        <f>VLOOKUP($D513,Sheet1!$J$5:$L$192,2,TRUE)</f>
        <v>~|(..</v>
      </c>
      <c r="R513" s="23">
        <f>FLOOR(VLOOKUP($D513,Sheet1!$M$5:$O$192,3,TRUE),1)</f>
        <v>28</v>
      </c>
      <c r="S513" s="42" t="str">
        <f>VLOOKUP($D513,Sheet1!$M$5:$O$192,2,TRUE)</f>
        <v>~|(..</v>
      </c>
      <c r="T513" s="117">
        <f>IF(ABS(D513-VLOOKUP($D513,Sheet1!$M$5:$T$192,8,TRUE))&lt;10^-10,"SoCA",D513-VLOOKUP($D513,Sheet1!$M$5:$T$192,8,TRUE))</f>
        <v>-6.8925464308623674E-2</v>
      </c>
      <c r="U513" s="109">
        <f>IF(VLOOKUP($D513,Sheet1!$M$5:$U$192,9,TRUE)=0,"",IF(ABS(D513-VLOOKUP($D513,Sheet1!$M$5:$U$192,9,TRUE))&lt;10^-10,"Alt.",D513-VLOOKUP($D513,Sheet1!$M$5:$U$192,9,TRUE)))</f>
        <v>-8.297763170308059E-2</v>
      </c>
      <c r="V513" s="132">
        <f>$D513-Sheet1!$M$3*$R513</f>
        <v>0.16724669277135007</v>
      </c>
      <c r="Z513" s="6"/>
      <c r="AA513" s="61"/>
    </row>
    <row r="514" spans="1:27" ht="13.5">
      <c r="A514" t="s">
        <v>1430</v>
      </c>
      <c r="B514">
        <v>715149</v>
      </c>
      <c r="C514">
        <v>720896</v>
      </c>
      <c r="D514" s="13">
        <f t="shared" si="11"/>
        <v>13.856745709345748</v>
      </c>
      <c r="E514" s="61" t="s">
        <v>1931</v>
      </c>
      <c r="F514" s="65">
        <v>129.53361217253143</v>
      </c>
      <c r="G514" s="6">
        <v>1202</v>
      </c>
      <c r="H514" s="6">
        <v>1279</v>
      </c>
      <c r="I514" s="65">
        <v>-8.8532103161975453</v>
      </c>
      <c r="J514" s="6">
        <f>VLOOKUP($D514,Sheet1!$A$5:$C$192,3,TRUE)</f>
        <v>3</v>
      </c>
      <c r="K514" s="42" t="str">
        <f>VLOOKUP($D514,Sheet1!$A$5:$C$192,2,TRUE)</f>
        <v>~|(</v>
      </c>
      <c r="L514" s="6">
        <f>FLOOR(VLOOKUP($D514,Sheet1!$D$5:$F$192,3,TRUE),1)</f>
        <v>6</v>
      </c>
      <c r="M514" s="42" t="str">
        <f>VLOOKUP($D514,Sheet1!$D$5:$F$192,2,TRUE)</f>
        <v>~|(</v>
      </c>
      <c r="N514" s="23">
        <f>FLOOR(VLOOKUP($D514,Sheet1!$G$5:$I$192,3,TRUE),1)</f>
        <v>7</v>
      </c>
      <c r="O514" s="42" t="str">
        <f>VLOOKUP($D514,Sheet1!$G$5:$I$192,2,TRUE)</f>
        <v>~|(</v>
      </c>
      <c r="P514" s="23">
        <v>1</v>
      </c>
      <c r="Q514" s="43" t="str">
        <f>VLOOKUP($D514,Sheet1!$J$5:$L$192,2,TRUE)</f>
        <v>~|(..</v>
      </c>
      <c r="R514" s="23">
        <f>FLOOR(VLOOKUP($D514,Sheet1!$M$5:$O$192,3,TRUE),1)</f>
        <v>28</v>
      </c>
      <c r="S514" s="42" t="str">
        <f>VLOOKUP($D514,Sheet1!$M$5:$O$192,2,TRUE)</f>
        <v>~|(..</v>
      </c>
      <c r="T514" s="117">
        <f>IF(ABS(D514-VLOOKUP($D514,Sheet1!$M$5:$T$192,8,TRUE))&lt;10^-10,"SoCA",D514-VLOOKUP($D514,Sheet1!$M$5:$T$192,8,TRUE))</f>
        <v>-4.114391389703087E-2</v>
      </c>
      <c r="U514" s="109">
        <f>IF(VLOOKUP($D514,Sheet1!$M$5:$U$192,9,TRUE)=0,"",IF(ABS(D514-VLOOKUP($D514,Sheet1!$M$5:$U$192,9,TRUE))&lt;10^-10,"Alt.",D514-VLOOKUP($D514,Sheet1!$M$5:$U$192,9,TRUE)))</f>
        <v>-5.5196081291487786E-2</v>
      </c>
      <c r="V514" s="132">
        <f>$D514-Sheet1!$M$3*$R514</f>
        <v>0.19502824318294287</v>
      </c>
      <c r="Z514" s="6"/>
      <c r="AA514" s="61"/>
    </row>
    <row r="515" spans="1:27" ht="13.5">
      <c r="A515" t="s">
        <v>801</v>
      </c>
      <c r="B515">
        <v>127</v>
      </c>
      <c r="C515">
        <v>128</v>
      </c>
      <c r="D515" s="13">
        <f t="shared" si="11"/>
        <v>13.578375873400953</v>
      </c>
      <c r="E515" s="61" t="s">
        <v>1931</v>
      </c>
      <c r="F515" s="65">
        <v>152.43738676694591</v>
      </c>
      <c r="G515" s="6">
        <v>741</v>
      </c>
      <c r="H515" s="6">
        <v>647</v>
      </c>
      <c r="I515" s="65">
        <v>-0.83607007124189658</v>
      </c>
      <c r="J515" s="6">
        <f>VLOOKUP($D515,Sheet1!$A$5:$C$192,3,TRUE)</f>
        <v>3</v>
      </c>
      <c r="K515" s="42" t="str">
        <f>VLOOKUP($D515,Sheet1!$A$5:$C$192,2,TRUE)</f>
        <v>~|(</v>
      </c>
      <c r="L515" s="6">
        <f>FLOOR(VLOOKUP($D515,Sheet1!$D$5:$F$192,3,TRUE),1)</f>
        <v>6</v>
      </c>
      <c r="M515" s="42" t="str">
        <f>VLOOKUP($D515,Sheet1!$D$5:$F$192,2,TRUE)</f>
        <v>~|(</v>
      </c>
      <c r="N515" s="23">
        <f>FLOOR(VLOOKUP($D515,Sheet1!$G$5:$I$192,3,TRUE),1)</f>
        <v>7</v>
      </c>
      <c r="O515" s="42" t="str">
        <f>VLOOKUP($D515,Sheet1!$G$5:$I$192,2,TRUE)</f>
        <v>~|(</v>
      </c>
      <c r="P515" s="23">
        <v>1</v>
      </c>
      <c r="Q515" s="43" t="str">
        <f>VLOOKUP($D515,Sheet1!$J$5:$L$192,2,TRUE)</f>
        <v>~|(..</v>
      </c>
      <c r="R515" s="23">
        <f>FLOOR(VLOOKUP($D515,Sheet1!$M$5:$O$192,3,TRUE),1)</f>
        <v>28</v>
      </c>
      <c r="S515" s="42" t="str">
        <f>VLOOKUP($D515,Sheet1!$M$5:$O$192,2,TRUE)</f>
        <v>.~|(''</v>
      </c>
      <c r="T515" s="117">
        <f>IF(ABS(D515-VLOOKUP($D515,Sheet1!$M$5:$T$192,8,TRUE))&lt;10^-10,"SoCA",D515-VLOOKUP($D515,Sheet1!$M$5:$T$192,8,TRUE))</f>
        <v>-3.0841370110865185E-2</v>
      </c>
      <c r="U515" s="109">
        <f>IF(VLOOKUP($D515,Sheet1!$M$5:$U$192,9,TRUE)=0,"",IF(ABS(D515-VLOOKUP($D515,Sheet1!$M$5:$U$192,9,TRUE))&lt;10^-10,"Alt.",D515-VLOOKUP($D515,Sheet1!$M$5:$U$192,9,TRUE)))</f>
        <v>-1.6789202716408269E-2</v>
      </c>
      <c r="V515" s="132">
        <f>$D515-Sheet1!$M$3*$R515</f>
        <v>-8.3341592761852823E-2</v>
      </c>
      <c r="Z515" s="6"/>
      <c r="AA515" s="61"/>
    </row>
    <row r="516" spans="1:27" ht="13.5">
      <c r="A516" s="6" t="s">
        <v>1907</v>
      </c>
      <c r="B516">
        <v>1240029</v>
      </c>
      <c r="C516">
        <v>1250000</v>
      </c>
      <c r="D516" s="13">
        <f t="shared" ref="D516:D579" si="12">1200*LN($C516/$B516)/LN(2)</f>
        <v>13.865081065457357</v>
      </c>
      <c r="E516" s="61">
        <v>7</v>
      </c>
      <c r="F516" s="65">
        <v>152.4917586419941</v>
      </c>
      <c r="G516" s="59">
        <v>1747</v>
      </c>
      <c r="H516" s="63">
        <v>1000112</v>
      </c>
      <c r="I516" s="65">
        <v>-11.853723554440693</v>
      </c>
      <c r="J516" s="6">
        <f>VLOOKUP($D516,Sheet1!$A$5:$C$192,3,TRUE)</f>
        <v>3</v>
      </c>
      <c r="K516" s="42" t="str">
        <f>VLOOKUP($D516,Sheet1!$A$5:$C$192,2,TRUE)</f>
        <v>~|(</v>
      </c>
      <c r="L516" s="6">
        <f>FLOOR(VLOOKUP($D516,Sheet1!$D$5:$F$192,3,TRUE),1)</f>
        <v>6</v>
      </c>
      <c r="M516" s="42" t="str">
        <f>VLOOKUP($D516,Sheet1!$D$5:$F$192,2,TRUE)</f>
        <v>~|(</v>
      </c>
      <c r="N516" s="23">
        <f>FLOOR(VLOOKUP($D516,Sheet1!$G$5:$I$192,3,TRUE),1)</f>
        <v>7</v>
      </c>
      <c r="O516" s="42" t="str">
        <f>VLOOKUP($D516,Sheet1!$G$5:$I$192,2,TRUE)</f>
        <v>~|(</v>
      </c>
      <c r="P516" s="23">
        <v>1</v>
      </c>
      <c r="Q516" s="43" t="str">
        <f>VLOOKUP($D516,Sheet1!$J$5:$L$192,2,TRUE)</f>
        <v>~|(..</v>
      </c>
      <c r="R516" s="23">
        <f>FLOOR(VLOOKUP($D516,Sheet1!$M$5:$O$192,3,TRUE),1)</f>
        <v>28</v>
      </c>
      <c r="S516" s="42" t="str">
        <f>VLOOKUP($D516,Sheet1!$M$5:$O$192,2,TRUE)</f>
        <v>~|(..</v>
      </c>
      <c r="T516" s="117">
        <f>IF(ABS(D516-VLOOKUP($D516,Sheet1!$M$5:$T$192,8,TRUE))&lt;10^-10,"SoCA",D516-VLOOKUP($D516,Sheet1!$M$5:$T$192,8,TRUE))</f>
        <v>-3.2808557785422465E-2</v>
      </c>
      <c r="U516" s="109">
        <f>IF(VLOOKUP($D516,Sheet1!$M$5:$U$192,9,TRUE)=0,"",IF(ABS(D516-VLOOKUP($D516,Sheet1!$M$5:$U$192,9,TRUE))&lt;10^-10,"Alt.",D516-VLOOKUP($D516,Sheet1!$M$5:$U$192,9,TRUE)))</f>
        <v>-4.6860725179879381E-2</v>
      </c>
      <c r="V516" s="132">
        <f>$D516-Sheet1!$M$3*$R516</f>
        <v>0.20336359929455128</v>
      </c>
      <c r="Z516" s="6"/>
      <c r="AA516" s="61"/>
    </row>
    <row r="517" spans="1:27" ht="13.5">
      <c r="A517" t="s">
        <v>1337</v>
      </c>
      <c r="B517">
        <v>327680</v>
      </c>
      <c r="C517">
        <v>330237</v>
      </c>
      <c r="D517" s="13">
        <f t="shared" si="12"/>
        <v>13.456979382971642</v>
      </c>
      <c r="E517" s="61" t="s">
        <v>1931</v>
      </c>
      <c r="F517" s="65">
        <v>158.79774826903284</v>
      </c>
      <c r="G517" s="6">
        <v>1249</v>
      </c>
      <c r="H517" s="6">
        <v>1186</v>
      </c>
      <c r="I517" s="65">
        <v>6.17140475294533</v>
      </c>
      <c r="J517" s="6">
        <f>VLOOKUP($D517,Sheet1!$A$5:$C$192,3,TRUE)</f>
        <v>3</v>
      </c>
      <c r="K517" s="42" t="str">
        <f>VLOOKUP($D517,Sheet1!$A$5:$C$192,2,TRUE)</f>
        <v>~|(</v>
      </c>
      <c r="L517" s="6">
        <f>FLOOR(VLOOKUP($D517,Sheet1!$D$5:$F$192,3,TRUE),1)</f>
        <v>6</v>
      </c>
      <c r="M517" s="42" t="str">
        <f>VLOOKUP($D517,Sheet1!$D$5:$F$192,2,TRUE)</f>
        <v>~|(</v>
      </c>
      <c r="N517" s="23">
        <f>FLOOR(VLOOKUP($D517,Sheet1!$G$5:$I$192,3,TRUE),1)</f>
        <v>7</v>
      </c>
      <c r="O517" s="42" t="str">
        <f>VLOOKUP($D517,Sheet1!$G$5:$I$192,2,TRUE)</f>
        <v>~|(</v>
      </c>
      <c r="P517" s="23">
        <v>1</v>
      </c>
      <c r="Q517" s="43" t="str">
        <f>VLOOKUP($D517,Sheet1!$J$5:$L$192,2,TRUE)</f>
        <v>~|(..</v>
      </c>
      <c r="R517" s="23">
        <f>FLOOR(VLOOKUP($D517,Sheet1!$M$5:$O$192,3,TRUE),1)</f>
        <v>28</v>
      </c>
      <c r="S517" s="42" t="str">
        <f>VLOOKUP($D517,Sheet1!$M$5:$O$192,2,TRUE)</f>
        <v>.~|(''</v>
      </c>
      <c r="T517" s="117">
        <f>IF(ABS(D517-VLOOKUP($D517,Sheet1!$M$5:$T$192,8,TRUE))&lt;10^-10,"SoCA",D517-VLOOKUP($D517,Sheet1!$M$5:$T$192,8,TRUE))</f>
        <v>-0.15223786054017552</v>
      </c>
      <c r="U517" s="109">
        <f>IF(VLOOKUP($D517,Sheet1!$M$5:$U$192,9,TRUE)=0,"",IF(ABS(D517-VLOOKUP($D517,Sheet1!$M$5:$U$192,9,TRUE))&lt;10^-10,"Alt.",D517-VLOOKUP($D517,Sheet1!$M$5:$U$192,9,TRUE)))</f>
        <v>-0.1381856931457186</v>
      </c>
      <c r="V517" s="132">
        <f>$D517-Sheet1!$M$3*$R517</f>
        <v>-0.20473808319116316</v>
      </c>
      <c r="Z517" s="6"/>
      <c r="AA517" s="61"/>
    </row>
    <row r="518" spans="1:27" ht="13.5">
      <c r="A518" t="s">
        <v>1610</v>
      </c>
      <c r="B518">
        <v>544563</v>
      </c>
      <c r="C518">
        <v>548864</v>
      </c>
      <c r="D518" s="13">
        <f t="shared" si="12"/>
        <v>13.619704009917994</v>
      </c>
      <c r="E518" s="61" t="s">
        <v>1931</v>
      </c>
      <c r="F518" s="65">
        <v>159.90532720239111</v>
      </c>
      <c r="G518" s="6">
        <v>1516</v>
      </c>
      <c r="H518" s="6">
        <v>1459</v>
      </c>
      <c r="I518" s="65">
        <v>-8.8386147951738501</v>
      </c>
      <c r="J518" s="6">
        <f>VLOOKUP($D518,Sheet1!$A$5:$C$192,3,TRUE)</f>
        <v>3</v>
      </c>
      <c r="K518" s="42" t="str">
        <f>VLOOKUP($D518,Sheet1!$A$5:$C$192,2,TRUE)</f>
        <v>~|(</v>
      </c>
      <c r="L518" s="6">
        <f>FLOOR(VLOOKUP($D518,Sheet1!$D$5:$F$192,3,TRUE),1)</f>
        <v>6</v>
      </c>
      <c r="M518" s="42" t="str">
        <f>VLOOKUP($D518,Sheet1!$D$5:$F$192,2,TRUE)</f>
        <v>~|(</v>
      </c>
      <c r="N518" s="23">
        <f>FLOOR(VLOOKUP($D518,Sheet1!$G$5:$I$192,3,TRUE),1)</f>
        <v>7</v>
      </c>
      <c r="O518" s="42" t="str">
        <f>VLOOKUP($D518,Sheet1!$G$5:$I$192,2,TRUE)</f>
        <v>~|(</v>
      </c>
      <c r="P518" s="23">
        <v>1</v>
      </c>
      <c r="Q518" s="43" t="str">
        <f>VLOOKUP($D518,Sheet1!$J$5:$L$192,2,TRUE)</f>
        <v>~|(..</v>
      </c>
      <c r="R518" s="23">
        <f>FLOOR(VLOOKUP($D518,Sheet1!$M$5:$O$192,3,TRUE),1)</f>
        <v>28</v>
      </c>
      <c r="S518" s="42" t="str">
        <f>VLOOKUP($D518,Sheet1!$M$5:$O$192,2,TRUE)</f>
        <v>.~|(''</v>
      </c>
      <c r="T518" s="117">
        <f>IF(ABS(D518-VLOOKUP($D518,Sheet1!$M$5:$T$192,8,TRUE))&lt;10^-10,"SoCA",D518-VLOOKUP($D518,Sheet1!$M$5:$T$192,8,TRUE))</f>
        <v>1.0486766406176073E-2</v>
      </c>
      <c r="U518" s="109">
        <f>IF(VLOOKUP($D518,Sheet1!$M$5:$U$192,9,TRUE)=0,"",IF(ABS(D518-VLOOKUP($D518,Sheet1!$M$5:$U$192,9,TRUE))&lt;10^-10,"Alt.",D518-VLOOKUP($D518,Sheet1!$M$5:$U$192,9,TRUE)))</f>
        <v>2.4538933800632989E-2</v>
      </c>
      <c r="V518" s="132">
        <f>$D518-Sheet1!$M$3*$R518</f>
        <v>-4.2013456244811564E-2</v>
      </c>
      <c r="Z518" s="6"/>
      <c r="AA518" s="61"/>
    </row>
    <row r="519" spans="1:27" ht="13.5">
      <c r="A519" s="6" t="s">
        <v>1820</v>
      </c>
      <c r="B519">
        <v>2893401</v>
      </c>
      <c r="C519">
        <v>2916352</v>
      </c>
      <c r="D519" s="13">
        <f t="shared" si="12"/>
        <v>13.678295567553162</v>
      </c>
      <c r="E519" s="61" t="s">
        <v>1931</v>
      </c>
      <c r="F519" s="65">
        <v>160.36283897611048</v>
      </c>
      <c r="G519" s="59">
        <v>1400</v>
      </c>
      <c r="H519" s="63">
        <v>1000025</v>
      </c>
      <c r="I519" s="65">
        <v>-10.842222490838113</v>
      </c>
      <c r="J519" s="6">
        <f>VLOOKUP($D519,Sheet1!$A$5:$C$192,3,TRUE)</f>
        <v>3</v>
      </c>
      <c r="K519" s="42" t="str">
        <f>VLOOKUP($D519,Sheet1!$A$5:$C$192,2,TRUE)</f>
        <v>~|(</v>
      </c>
      <c r="L519" s="6">
        <f>FLOOR(VLOOKUP($D519,Sheet1!$D$5:$F$192,3,TRUE),1)</f>
        <v>6</v>
      </c>
      <c r="M519" s="42" t="str">
        <f>VLOOKUP($D519,Sheet1!$D$5:$F$192,2,TRUE)</f>
        <v>~|(</v>
      </c>
      <c r="N519" s="23">
        <f>FLOOR(VLOOKUP($D519,Sheet1!$G$5:$I$192,3,TRUE),1)</f>
        <v>7</v>
      </c>
      <c r="O519" s="42" t="str">
        <f>VLOOKUP($D519,Sheet1!$G$5:$I$192,2,TRUE)</f>
        <v>~|(</v>
      </c>
      <c r="P519" s="23">
        <v>1</v>
      </c>
      <c r="Q519" s="43" t="str">
        <f>VLOOKUP($D519,Sheet1!$J$5:$L$192,2,TRUE)</f>
        <v>~|(..</v>
      </c>
      <c r="R519" s="23">
        <f>FLOOR(VLOOKUP($D519,Sheet1!$M$5:$O$192,3,TRUE),1)</f>
        <v>28</v>
      </c>
      <c r="S519" s="42" t="str">
        <f>VLOOKUP($D519,Sheet1!$M$5:$O$192,2,TRUE)</f>
        <v>~|(..</v>
      </c>
      <c r="T519" s="117">
        <f>IF(ABS(D519-VLOOKUP($D519,Sheet1!$M$5:$T$192,8,TRUE))&lt;10^-10,"SoCA",D519-VLOOKUP($D519,Sheet1!$M$5:$T$192,8,TRUE))</f>
        <v>-0.21959405568961721</v>
      </c>
      <c r="U519" s="109">
        <f>IF(VLOOKUP($D519,Sheet1!$M$5:$U$192,9,TRUE)=0,"",IF(ABS(D519-VLOOKUP($D519,Sheet1!$M$5:$U$192,9,TRUE))&lt;10^-10,"Alt.",D519-VLOOKUP($D519,Sheet1!$M$5:$U$192,9,TRUE)))</f>
        <v>-0.23364622308407412</v>
      </c>
      <c r="V519" s="132">
        <f>$D519-Sheet1!$M$3*$R519</f>
        <v>1.6578101390356537E-2</v>
      </c>
      <c r="Z519" s="6"/>
      <c r="AA519" s="61"/>
    </row>
    <row r="520" spans="1:27" ht="13.5">
      <c r="A520" t="s">
        <v>1333</v>
      </c>
      <c r="B520">
        <v>7561216</v>
      </c>
      <c r="C520">
        <v>7621695</v>
      </c>
      <c r="D520" s="13">
        <f t="shared" si="12"/>
        <v>13.792329789725365</v>
      </c>
      <c r="E520" s="61" t="s">
        <v>1931</v>
      </c>
      <c r="F520" s="65">
        <v>179.15118082381792</v>
      </c>
      <c r="G520" s="6">
        <v>1245</v>
      </c>
      <c r="H520" s="6">
        <v>1182</v>
      </c>
      <c r="I520" s="65">
        <v>6.1507560066534541</v>
      </c>
      <c r="J520" s="6">
        <f>VLOOKUP($D520,Sheet1!$A$5:$C$192,3,TRUE)</f>
        <v>3</v>
      </c>
      <c r="K520" s="42" t="str">
        <f>VLOOKUP($D520,Sheet1!$A$5:$C$192,2,TRUE)</f>
        <v>~|(</v>
      </c>
      <c r="L520" s="6">
        <f>FLOOR(VLOOKUP($D520,Sheet1!$D$5:$F$192,3,TRUE),1)</f>
        <v>6</v>
      </c>
      <c r="M520" s="42" t="str">
        <f>VLOOKUP($D520,Sheet1!$D$5:$F$192,2,TRUE)</f>
        <v>~|(</v>
      </c>
      <c r="N520" s="23">
        <f>FLOOR(VLOOKUP($D520,Sheet1!$G$5:$I$192,3,TRUE),1)</f>
        <v>7</v>
      </c>
      <c r="O520" s="42" t="str">
        <f>VLOOKUP($D520,Sheet1!$G$5:$I$192,2,TRUE)</f>
        <v>~|(</v>
      </c>
      <c r="P520" s="23">
        <v>1</v>
      </c>
      <c r="Q520" s="43" t="str">
        <f>VLOOKUP($D520,Sheet1!$J$5:$L$192,2,TRUE)</f>
        <v>~|(..</v>
      </c>
      <c r="R520" s="23">
        <f>FLOOR(VLOOKUP($D520,Sheet1!$M$5:$O$192,3,TRUE),1)</f>
        <v>28</v>
      </c>
      <c r="S520" s="42" t="str">
        <f>VLOOKUP($D520,Sheet1!$M$5:$O$192,2,TRUE)</f>
        <v>~|(..</v>
      </c>
      <c r="T520" s="117">
        <f>IF(ABS(D520-VLOOKUP($D520,Sheet1!$M$5:$T$192,8,TRUE))&lt;10^-10,"SoCA",D520-VLOOKUP($D520,Sheet1!$M$5:$T$192,8,TRUE))</f>
        <v>-0.1055598335174146</v>
      </c>
      <c r="U520" s="109">
        <f>IF(VLOOKUP($D520,Sheet1!$M$5:$U$192,9,TRUE)=0,"",IF(ABS(D520-VLOOKUP($D520,Sheet1!$M$5:$U$192,9,TRUE))&lt;10^-10,"Alt.",D520-VLOOKUP($D520,Sheet1!$M$5:$U$192,9,TRUE)))</f>
        <v>-0.11961200091187152</v>
      </c>
      <c r="V520" s="132">
        <f>$D520-Sheet1!$M$3*$R520</f>
        <v>0.13061232356255914</v>
      </c>
      <c r="Z520" s="6"/>
      <c r="AA520" s="61"/>
    </row>
    <row r="521" spans="1:27" ht="13.5">
      <c r="A521" t="s">
        <v>1499</v>
      </c>
      <c r="B521">
        <v>129033</v>
      </c>
      <c r="C521">
        <v>130048</v>
      </c>
      <c r="D521" s="13">
        <f t="shared" si="12"/>
        <v>13.564958834677524</v>
      </c>
      <c r="E521" s="61" t="s">
        <v>1931</v>
      </c>
      <c r="F521" s="65">
        <v>191.15448506284898</v>
      </c>
      <c r="G521" s="6">
        <v>1410</v>
      </c>
      <c r="H521" s="6">
        <v>1348</v>
      </c>
      <c r="I521" s="65">
        <v>-7.835243935286762</v>
      </c>
      <c r="J521" s="6">
        <f>VLOOKUP($D521,Sheet1!$A$5:$C$192,3,TRUE)</f>
        <v>3</v>
      </c>
      <c r="K521" s="42" t="str">
        <f>VLOOKUP($D521,Sheet1!$A$5:$C$192,2,TRUE)</f>
        <v>~|(</v>
      </c>
      <c r="L521" s="6">
        <f>FLOOR(VLOOKUP($D521,Sheet1!$D$5:$F$192,3,TRUE),1)</f>
        <v>6</v>
      </c>
      <c r="M521" s="42" t="str">
        <f>VLOOKUP($D521,Sheet1!$D$5:$F$192,2,TRUE)</f>
        <v>~|(</v>
      </c>
      <c r="N521" s="23">
        <f>FLOOR(VLOOKUP($D521,Sheet1!$G$5:$I$192,3,TRUE),1)</f>
        <v>7</v>
      </c>
      <c r="O521" s="42" t="str">
        <f>VLOOKUP($D521,Sheet1!$G$5:$I$192,2,TRUE)</f>
        <v>~|(</v>
      </c>
      <c r="P521" s="23">
        <v>1</v>
      </c>
      <c r="Q521" s="43" t="str">
        <f>VLOOKUP($D521,Sheet1!$J$5:$L$192,2,TRUE)</f>
        <v>~|(..</v>
      </c>
      <c r="R521" s="23">
        <f>FLOOR(VLOOKUP($D521,Sheet1!$M$5:$O$192,3,TRUE),1)</f>
        <v>28</v>
      </c>
      <c r="S521" s="42" t="str">
        <f>VLOOKUP($D521,Sheet1!$M$5:$O$192,2,TRUE)</f>
        <v>.~|(''</v>
      </c>
      <c r="T521" s="117">
        <f>IF(ABS(D521-VLOOKUP($D521,Sheet1!$M$5:$T$192,8,TRUE))&lt;10^-10,"SoCA",D521-VLOOKUP($D521,Sheet1!$M$5:$T$192,8,TRUE))</f>
        <v>-4.4258408834293661E-2</v>
      </c>
      <c r="U521" s="109">
        <f>IF(VLOOKUP($D521,Sheet1!$M$5:$U$192,9,TRUE)=0,"",IF(ABS(D521-VLOOKUP($D521,Sheet1!$M$5:$U$192,9,TRUE))&lt;10^-10,"Alt.",D521-VLOOKUP($D521,Sheet1!$M$5:$U$192,9,TRUE)))</f>
        <v>-3.0206241439836745E-2</v>
      </c>
      <c r="V521" s="132">
        <f>$D521-Sheet1!$M$3*$R521</f>
        <v>-9.6758631485281299E-2</v>
      </c>
      <c r="Z521" s="6"/>
      <c r="AA521" s="61"/>
    </row>
    <row r="522" spans="1:27" ht="13.5">
      <c r="A522" t="s">
        <v>1531</v>
      </c>
      <c r="B522">
        <v>10993664</v>
      </c>
      <c r="C522">
        <v>11081529</v>
      </c>
      <c r="D522" s="13">
        <f t="shared" si="12"/>
        <v>13.781594844541837</v>
      </c>
      <c r="E522" s="61" t="s">
        <v>1931</v>
      </c>
      <c r="F522" s="65">
        <v>776.20210809625848</v>
      </c>
      <c r="G522" s="6">
        <v>1437</v>
      </c>
      <c r="H522" s="6">
        <v>1380</v>
      </c>
      <c r="I522" s="65">
        <v>8.1514169963379377</v>
      </c>
      <c r="J522" s="6">
        <f>VLOOKUP($D522,Sheet1!$A$5:$C$192,3,TRUE)</f>
        <v>3</v>
      </c>
      <c r="K522" s="42" t="str">
        <f>VLOOKUP($D522,Sheet1!$A$5:$C$192,2,TRUE)</f>
        <v>~|(</v>
      </c>
      <c r="L522" s="6">
        <f>FLOOR(VLOOKUP($D522,Sheet1!$D$5:$F$192,3,TRUE),1)</f>
        <v>6</v>
      </c>
      <c r="M522" s="42" t="str">
        <f>VLOOKUP($D522,Sheet1!$D$5:$F$192,2,TRUE)</f>
        <v>~|(</v>
      </c>
      <c r="N522" s="23">
        <f>FLOOR(VLOOKUP($D522,Sheet1!$G$5:$I$192,3,TRUE),1)</f>
        <v>7</v>
      </c>
      <c r="O522" s="42" t="str">
        <f>VLOOKUP($D522,Sheet1!$G$5:$I$192,2,TRUE)</f>
        <v>~|(</v>
      </c>
      <c r="P522" s="23">
        <v>1</v>
      </c>
      <c r="Q522" s="43" t="str">
        <f>VLOOKUP($D522,Sheet1!$J$5:$L$192,2,TRUE)</f>
        <v>~|(..</v>
      </c>
      <c r="R522" s="23">
        <f>FLOOR(VLOOKUP($D522,Sheet1!$M$5:$O$192,3,TRUE),1)</f>
        <v>28</v>
      </c>
      <c r="S522" s="42" t="str">
        <f>VLOOKUP($D522,Sheet1!$M$5:$O$192,2,TRUE)</f>
        <v>~|(..</v>
      </c>
      <c r="T522" s="117">
        <f>IF(ABS(D522-VLOOKUP($D522,Sheet1!$M$5:$T$192,8,TRUE))&lt;10^-10,"SoCA",D522-VLOOKUP($D522,Sheet1!$M$5:$T$192,8,TRUE))</f>
        <v>-0.11629477870094185</v>
      </c>
      <c r="U522" s="109">
        <f>IF(VLOOKUP($D522,Sheet1!$M$5:$U$192,9,TRUE)=0,"",IF(ABS(D522-VLOOKUP($D522,Sheet1!$M$5:$U$192,9,TRUE))&lt;10^-10,"Alt.",D522-VLOOKUP($D522,Sheet1!$M$5:$U$192,9,TRUE)))</f>
        <v>-0.13034694609539876</v>
      </c>
      <c r="V522" s="132">
        <f>$D522-Sheet1!$M$3*$R522</f>
        <v>0.1198773783790319</v>
      </c>
      <c r="Z522" s="6"/>
      <c r="AA522" s="61"/>
    </row>
    <row r="523" spans="1:27" ht="13.5">
      <c r="A523" t="s">
        <v>1237</v>
      </c>
      <c r="B523">
        <v>897536</v>
      </c>
      <c r="C523">
        <v>904689</v>
      </c>
      <c r="D523" s="13">
        <f t="shared" si="12"/>
        <v>13.742548437306732</v>
      </c>
      <c r="E523" s="61" t="s">
        <v>1931</v>
      </c>
      <c r="F523" s="65">
        <v>2213.6688903382492</v>
      </c>
      <c r="G523" s="6">
        <v>1147</v>
      </c>
      <c r="H523" s="6">
        <v>1086</v>
      </c>
      <c r="I523" s="65">
        <v>5.1538212258852099</v>
      </c>
      <c r="J523" s="6">
        <f>VLOOKUP($D523,Sheet1!$A$5:$C$192,3,TRUE)</f>
        <v>3</v>
      </c>
      <c r="K523" s="42" t="str">
        <f>VLOOKUP($D523,Sheet1!$A$5:$C$192,2,TRUE)</f>
        <v>~|(</v>
      </c>
      <c r="L523" s="6">
        <f>FLOOR(VLOOKUP($D523,Sheet1!$D$5:$F$192,3,TRUE),1)</f>
        <v>6</v>
      </c>
      <c r="M523" s="42" t="str">
        <f>VLOOKUP($D523,Sheet1!$D$5:$F$192,2,TRUE)</f>
        <v>~|(</v>
      </c>
      <c r="N523" s="23">
        <f>FLOOR(VLOOKUP($D523,Sheet1!$G$5:$I$192,3,TRUE),1)</f>
        <v>7</v>
      </c>
      <c r="O523" s="42" t="str">
        <f>VLOOKUP($D523,Sheet1!$G$5:$I$192,2,TRUE)</f>
        <v>~|(</v>
      </c>
      <c r="P523" s="23">
        <v>1</v>
      </c>
      <c r="Q523" s="43" t="str">
        <f>VLOOKUP($D523,Sheet1!$J$5:$L$192,2,TRUE)</f>
        <v>~|(..</v>
      </c>
      <c r="R523" s="23">
        <f>FLOOR(VLOOKUP($D523,Sheet1!$M$5:$O$192,3,TRUE),1)</f>
        <v>28</v>
      </c>
      <c r="S523" s="42" t="str">
        <f>VLOOKUP($D523,Sheet1!$M$5:$O$192,2,TRUE)</f>
        <v>~|(..</v>
      </c>
      <c r="T523" s="117">
        <f>IF(ABS(D523-VLOOKUP($D523,Sheet1!$M$5:$T$192,8,TRUE))&lt;10^-10,"SoCA",D523-VLOOKUP($D523,Sheet1!$M$5:$T$192,8,TRUE))</f>
        <v>-0.15534118593604695</v>
      </c>
      <c r="U523" s="109">
        <f>IF(VLOOKUP($D523,Sheet1!$M$5:$U$192,9,TRUE)=0,"",IF(ABS(D523-VLOOKUP($D523,Sheet1!$M$5:$U$192,9,TRUE))&lt;10^-10,"Alt.",D523-VLOOKUP($D523,Sheet1!$M$5:$U$192,9,TRUE)))</f>
        <v>-0.16939335333050387</v>
      </c>
      <c r="V523" s="132">
        <f>$D523-Sheet1!$M$3*$R523</f>
        <v>8.0830971143926789E-2</v>
      </c>
      <c r="Z523" s="6"/>
      <c r="AA523" s="61"/>
    </row>
    <row r="524" spans="1:27" ht="13.5">
      <c r="A524" t="s">
        <v>1643</v>
      </c>
      <c r="B524">
        <v>163840000</v>
      </c>
      <c r="C524">
        <v>165160053</v>
      </c>
      <c r="D524" s="13">
        <f t="shared" si="12"/>
        <v>13.892599365965022</v>
      </c>
      <c r="E524" s="61" t="s">
        <v>1931</v>
      </c>
      <c r="F524" s="65">
        <v>4542.0883754921824</v>
      </c>
      <c r="G524" s="6">
        <v>1550</v>
      </c>
      <c r="H524" s="6">
        <v>1492</v>
      </c>
      <c r="I524" s="65">
        <v>9.1445820435424228</v>
      </c>
      <c r="J524" s="6">
        <f>VLOOKUP($D524,Sheet1!$A$5:$C$192,3,TRUE)</f>
        <v>3</v>
      </c>
      <c r="K524" s="42" t="str">
        <f>VLOOKUP($D524,Sheet1!$A$5:$C$192,2,TRUE)</f>
        <v>~|(</v>
      </c>
      <c r="L524" s="6">
        <f>FLOOR(VLOOKUP($D524,Sheet1!$D$5:$F$192,3,TRUE),1)</f>
        <v>6</v>
      </c>
      <c r="M524" s="42" t="str">
        <f>VLOOKUP($D524,Sheet1!$D$5:$F$192,2,TRUE)</f>
        <v>~|(</v>
      </c>
      <c r="N524" s="23">
        <f>FLOOR(VLOOKUP($D524,Sheet1!$G$5:$I$192,3,TRUE),1)</f>
        <v>7</v>
      </c>
      <c r="O524" s="42" t="str">
        <f>VLOOKUP($D524,Sheet1!$G$5:$I$192,2,TRUE)</f>
        <v>~|(</v>
      </c>
      <c r="P524" s="23">
        <v>1</v>
      </c>
      <c r="Q524" s="43" t="str">
        <f>VLOOKUP($D524,Sheet1!$J$5:$L$192,2,TRUE)</f>
        <v>~|(..</v>
      </c>
      <c r="R524" s="23">
        <f>FLOOR(VLOOKUP($D524,Sheet1!$M$5:$O$192,3,TRUE),1)</f>
        <v>28</v>
      </c>
      <c r="S524" s="42" t="str">
        <f>VLOOKUP($D524,Sheet1!$M$5:$O$192,2,TRUE)</f>
        <v>~|(..</v>
      </c>
      <c r="T524" s="117">
        <f>IF(ABS(D524-VLOOKUP($D524,Sheet1!$M$5:$T$192,8,TRUE))&lt;10^-10,"SoCA",D524-VLOOKUP($D524,Sheet1!$M$5:$T$192,8,TRUE))</f>
        <v>-5.2902572777568935E-3</v>
      </c>
      <c r="U524" s="109">
        <f>IF(VLOOKUP($D524,Sheet1!$M$5:$U$192,9,TRUE)=0,"",IF(ABS(D524-VLOOKUP($D524,Sheet1!$M$5:$U$192,9,TRUE))&lt;10^-10,"Alt.",D524-VLOOKUP($D524,Sheet1!$M$5:$U$192,9,TRUE)))</f>
        <v>-1.9342424672213809E-2</v>
      </c>
      <c r="V524" s="132">
        <f>$D524-Sheet1!$M$3*$R524</f>
        <v>0.23088189980221685</v>
      </c>
      <c r="Z524" s="6"/>
      <c r="AA524" s="61"/>
    </row>
    <row r="525" spans="1:27" ht="13.5">
      <c r="A525" t="s">
        <v>1334</v>
      </c>
      <c r="B525">
        <v>3403786240</v>
      </c>
      <c r="C525">
        <v>3430731591</v>
      </c>
      <c r="D525" s="13">
        <f t="shared" si="12"/>
        <v>13.650985180662436</v>
      </c>
      <c r="E525" s="61" t="s">
        <v>1931</v>
      </c>
      <c r="F525" s="65">
        <v>26847.618881267725</v>
      </c>
      <c r="G525" s="6">
        <v>1246</v>
      </c>
      <c r="H525" s="6">
        <v>1183</v>
      </c>
      <c r="I525" s="65">
        <v>6.1594591091799051</v>
      </c>
      <c r="J525" s="6">
        <f>VLOOKUP($D525,Sheet1!$A$5:$C$192,3,TRUE)</f>
        <v>3</v>
      </c>
      <c r="K525" s="42" t="str">
        <f>VLOOKUP($D525,Sheet1!$A$5:$C$192,2,TRUE)</f>
        <v>~|(</v>
      </c>
      <c r="L525" s="6">
        <f>FLOOR(VLOOKUP($D525,Sheet1!$D$5:$F$192,3,TRUE),1)</f>
        <v>6</v>
      </c>
      <c r="M525" s="42" t="str">
        <f>VLOOKUP($D525,Sheet1!$D$5:$F$192,2,TRUE)</f>
        <v>~|(</v>
      </c>
      <c r="N525" s="23">
        <f>FLOOR(VLOOKUP($D525,Sheet1!$G$5:$I$192,3,TRUE),1)</f>
        <v>7</v>
      </c>
      <c r="O525" s="42" t="str">
        <f>VLOOKUP($D525,Sheet1!$G$5:$I$192,2,TRUE)</f>
        <v>~|(</v>
      </c>
      <c r="P525" s="23">
        <v>1</v>
      </c>
      <c r="Q525" s="43" t="str">
        <f>VLOOKUP($D525,Sheet1!$J$5:$L$192,2,TRUE)</f>
        <v>~|(..</v>
      </c>
      <c r="R525" s="23">
        <f>FLOOR(VLOOKUP($D525,Sheet1!$M$5:$O$192,3,TRUE),1)</f>
        <v>28</v>
      </c>
      <c r="S525" s="42" t="str">
        <f>VLOOKUP($D525,Sheet1!$M$5:$O$192,2,TRUE)</f>
        <v>~|(..</v>
      </c>
      <c r="T525" s="117">
        <f>IF(ABS(D525-VLOOKUP($D525,Sheet1!$M$5:$T$192,8,TRUE))&lt;10^-10,"SoCA",D525-VLOOKUP($D525,Sheet1!$M$5:$T$192,8,TRUE))</f>
        <v>-0.24690444258034283</v>
      </c>
      <c r="U525" s="109">
        <f>IF(VLOOKUP($D525,Sheet1!$M$5:$U$192,9,TRUE)=0,"",IF(ABS(D525-VLOOKUP($D525,Sheet1!$M$5:$U$192,9,TRUE))&lt;10^-10,"Alt.",D525-VLOOKUP($D525,Sheet1!$M$5:$U$192,9,TRUE)))</f>
        <v>-0.26095660997479975</v>
      </c>
      <c r="V525" s="132">
        <f>$D525-Sheet1!$M$3*$R525</f>
        <v>-1.0732285500369088E-2</v>
      </c>
      <c r="Z525" s="6"/>
      <c r="AA525" s="61"/>
    </row>
    <row r="526" spans="1:27" ht="13.5">
      <c r="A526" t="s">
        <v>1431</v>
      </c>
      <c r="B526">
        <v>129769472</v>
      </c>
      <c r="C526">
        <v>130806657</v>
      </c>
      <c r="D526" s="13">
        <f t="shared" si="12"/>
        <v>13.781918373758121</v>
      </c>
      <c r="E526" s="61" t="s">
        <v>1931</v>
      </c>
      <c r="F526" s="65">
        <v>28078.094392677536</v>
      </c>
      <c r="G526" s="6">
        <v>1347</v>
      </c>
      <c r="H526" s="6">
        <v>1280</v>
      </c>
      <c r="I526" s="65">
        <v>7.151397075465411</v>
      </c>
      <c r="J526" s="6">
        <f>VLOOKUP($D526,Sheet1!$A$5:$C$192,3,TRUE)</f>
        <v>3</v>
      </c>
      <c r="K526" s="42" t="str">
        <f>VLOOKUP($D526,Sheet1!$A$5:$C$192,2,TRUE)</f>
        <v>~|(</v>
      </c>
      <c r="L526" s="6">
        <f>FLOOR(VLOOKUP($D526,Sheet1!$D$5:$F$192,3,TRUE),1)</f>
        <v>6</v>
      </c>
      <c r="M526" s="42" t="str">
        <f>VLOOKUP($D526,Sheet1!$D$5:$F$192,2,TRUE)</f>
        <v>~|(</v>
      </c>
      <c r="N526" s="23">
        <f>FLOOR(VLOOKUP($D526,Sheet1!$G$5:$I$192,3,TRUE),1)</f>
        <v>7</v>
      </c>
      <c r="O526" s="42" t="str">
        <f>VLOOKUP($D526,Sheet1!$G$5:$I$192,2,TRUE)</f>
        <v>~|(</v>
      </c>
      <c r="P526" s="23">
        <v>1</v>
      </c>
      <c r="Q526" s="43" t="str">
        <f>VLOOKUP($D526,Sheet1!$J$5:$L$192,2,TRUE)</f>
        <v>~|(..</v>
      </c>
      <c r="R526" s="23">
        <f>FLOOR(VLOOKUP($D526,Sheet1!$M$5:$O$192,3,TRUE),1)</f>
        <v>28</v>
      </c>
      <c r="S526" s="42" t="str">
        <f>VLOOKUP($D526,Sheet1!$M$5:$O$192,2,TRUE)</f>
        <v>~|(..</v>
      </c>
      <c r="T526" s="117">
        <f>IF(ABS(D526-VLOOKUP($D526,Sheet1!$M$5:$T$192,8,TRUE))&lt;10^-10,"SoCA",D526-VLOOKUP($D526,Sheet1!$M$5:$T$192,8,TRUE))</f>
        <v>-0.11597124948465876</v>
      </c>
      <c r="U526" s="109">
        <f>IF(VLOOKUP($D526,Sheet1!$M$5:$U$192,9,TRUE)=0,"",IF(ABS(D526-VLOOKUP($D526,Sheet1!$M$5:$U$192,9,TRUE))&lt;10^-10,"Alt.",D526-VLOOKUP($D526,Sheet1!$M$5:$U$192,9,TRUE)))</f>
        <v>-0.13002341687911567</v>
      </c>
      <c r="V526" s="132">
        <f>$D526-Sheet1!$M$3*$R526</f>
        <v>0.12020090759531499</v>
      </c>
      <c r="Z526" s="6"/>
      <c r="AA526" s="61"/>
    </row>
    <row r="527" spans="1:27" ht="13.5">
      <c r="A527" t="s">
        <v>1339</v>
      </c>
      <c r="B527">
        <v>2264307712</v>
      </c>
      <c r="C527">
        <v>2281939857</v>
      </c>
      <c r="D527" s="13">
        <f t="shared" si="12"/>
        <v>13.428887175130633</v>
      </c>
      <c r="E527" s="61" t="s">
        <v>1931</v>
      </c>
      <c r="F527" s="65">
        <v>2149038.0611378611</v>
      </c>
      <c r="G527" s="6">
        <v>1251</v>
      </c>
      <c r="H527" s="6">
        <v>1188</v>
      </c>
      <c r="I527" s="65">
        <v>6.1731344925275859</v>
      </c>
      <c r="J527" s="6">
        <f>VLOOKUP($D527,Sheet1!$A$5:$C$192,3,TRUE)</f>
        <v>3</v>
      </c>
      <c r="K527" s="42" t="str">
        <f>VLOOKUP($D527,Sheet1!$A$5:$C$192,2,TRUE)</f>
        <v>~|(</v>
      </c>
      <c r="L527" s="6">
        <f>FLOOR(VLOOKUP($D527,Sheet1!$D$5:$F$192,3,TRUE),1)</f>
        <v>6</v>
      </c>
      <c r="M527" s="42" t="str">
        <f>VLOOKUP($D527,Sheet1!$D$5:$F$192,2,TRUE)</f>
        <v>~|(</v>
      </c>
      <c r="N527" s="23">
        <f>FLOOR(VLOOKUP($D527,Sheet1!$G$5:$I$192,3,TRUE),1)</f>
        <v>7</v>
      </c>
      <c r="O527" s="42" t="str">
        <f>VLOOKUP($D527,Sheet1!$G$5:$I$192,2,TRUE)</f>
        <v>~|(</v>
      </c>
      <c r="P527" s="23">
        <v>1</v>
      </c>
      <c r="Q527" s="43" t="str">
        <f>VLOOKUP($D527,Sheet1!$J$5:$L$192,2,TRUE)</f>
        <v>~|(..</v>
      </c>
      <c r="R527" s="23">
        <f>FLOOR(VLOOKUP($D527,Sheet1!$M$5:$O$192,3,TRUE),1)</f>
        <v>28</v>
      </c>
      <c r="S527" s="42" t="str">
        <f>VLOOKUP($D527,Sheet1!$M$5:$O$192,2,TRUE)</f>
        <v>.~|(''</v>
      </c>
      <c r="T527" s="117">
        <f>IF(ABS(D527-VLOOKUP($D527,Sheet1!$M$5:$T$192,8,TRUE))&lt;10^-10,"SoCA",D527-VLOOKUP($D527,Sheet1!$M$5:$T$192,8,TRUE))</f>
        <v>-0.18033006838118482</v>
      </c>
      <c r="U527" s="109">
        <f>IF(VLOOKUP($D527,Sheet1!$M$5:$U$192,9,TRUE)=0,"",IF(ABS(D527-VLOOKUP($D527,Sheet1!$M$5:$U$192,9,TRUE))&lt;10^-10,"Alt.",D527-VLOOKUP($D527,Sheet1!$M$5:$U$192,9,TRUE)))</f>
        <v>-0.1662779009867279</v>
      </c>
      <c r="V527" s="132">
        <f>$D527-Sheet1!$M$3*$R527</f>
        <v>-0.23283029103217245</v>
      </c>
      <c r="Z527" s="6"/>
      <c r="AA527" s="61"/>
    </row>
    <row r="528" spans="1:27" ht="13.5">
      <c r="A528" s="87" t="s">
        <v>61</v>
      </c>
      <c r="B528" s="87">
        <f>3^5</f>
        <v>243</v>
      </c>
      <c r="C528" s="87">
        <f>5*7^2</f>
        <v>245</v>
      </c>
      <c r="D528" s="13">
        <f t="shared" si="12"/>
        <v>14.190522476147523</v>
      </c>
      <c r="E528" s="61">
        <v>7</v>
      </c>
      <c r="F528" s="65">
        <v>31.162209178993994</v>
      </c>
      <c r="G528" s="6">
        <v>38</v>
      </c>
      <c r="H528" s="6">
        <v>36</v>
      </c>
      <c r="I528" s="65">
        <v>-5.8737621677444967</v>
      </c>
      <c r="J528" s="6">
        <f>VLOOKUP($D528,Sheet1!$A$5:$C$192,3,TRUE)</f>
        <v>3</v>
      </c>
      <c r="K528" s="42" t="str">
        <f>VLOOKUP($D528,Sheet1!$A$5:$C$192,2,TRUE)</f>
        <v>~|(</v>
      </c>
      <c r="L528" s="6">
        <f>FLOOR(VLOOKUP($D528,Sheet1!$D$5:$F$192,3,TRUE),1)</f>
        <v>6</v>
      </c>
      <c r="M528" s="42" t="str">
        <f>VLOOKUP($D528,Sheet1!$D$5:$F$192,2,TRUE)</f>
        <v>~|(</v>
      </c>
      <c r="N528" s="23">
        <f>FLOOR(VLOOKUP($D528,Sheet1!$G$5:$I$192,3,TRUE),1)</f>
        <v>7</v>
      </c>
      <c r="O528" s="42" t="str">
        <f>VLOOKUP($D528,Sheet1!$G$5:$I$192,2,TRUE)</f>
        <v>~|(</v>
      </c>
      <c r="P528" s="23">
        <v>1</v>
      </c>
      <c r="Q528" s="45" t="str">
        <f>VLOOKUP($D528,Sheet1!$J$5:$L$192,2,TRUE)</f>
        <v>~|(.</v>
      </c>
      <c r="R528" s="38">
        <f>FLOOR(VLOOKUP($D528,Sheet1!$M$5:$O$192,3,TRUE),1)</f>
        <v>29</v>
      </c>
      <c r="S528" s="45" t="str">
        <f>VLOOKUP($D528,Sheet1!$M$5:$O$192,2,TRUE)</f>
        <v>~|(.</v>
      </c>
      <c r="T528" s="108">
        <f>IF(ABS(D528-VLOOKUP($D528,Sheet1!$M$5:$T$192,8,TRUE))&lt;10^-10,"SoCA",D528-VLOOKUP($D528,Sheet1!$M$5:$T$192,8,TRUE))</f>
        <v>-0.11717518524203108</v>
      </c>
      <c r="U528" s="108">
        <f>IF(VLOOKUP($D528,Sheet1!$M$5:$U$192,9,TRUE)=0,"",IF(ABS(D528-VLOOKUP($D528,Sheet1!$M$5:$U$192,9,TRUE))&lt;10^-10,"Alt.",D528-VLOOKUP($D528,Sheet1!$M$5:$U$192,9,TRUE)))</f>
        <v>-0.144135480444465</v>
      </c>
      <c r="V528" s="133">
        <f>$D528-Sheet1!$M$3*$R528</f>
        <v>4.0886529050331077E-2</v>
      </c>
      <c r="Z528" s="6"/>
      <c r="AA528" s="61"/>
    </row>
    <row r="529" spans="1:27" ht="13.5">
      <c r="A529" s="23" t="s">
        <v>363</v>
      </c>
      <c r="B529" s="23">
        <f>2^3*3*5</f>
        <v>120</v>
      </c>
      <c r="C529" s="23">
        <f>11^2</f>
        <v>121</v>
      </c>
      <c r="D529" s="13">
        <f t="shared" si="12"/>
        <v>14.367169999291129</v>
      </c>
      <c r="E529" s="61">
        <v>11</v>
      </c>
      <c r="F529" s="65">
        <v>32.452946513815519</v>
      </c>
      <c r="G529" s="6">
        <v>215</v>
      </c>
      <c r="H529" s="6">
        <v>198</v>
      </c>
      <c r="I529" s="65">
        <v>-1.8846389993064141</v>
      </c>
      <c r="J529" s="6">
        <f>VLOOKUP($D529,Sheet1!$A$5:$C$192,3,TRUE)</f>
        <v>3</v>
      </c>
      <c r="K529" s="42" t="str">
        <f>VLOOKUP($D529,Sheet1!$A$5:$C$192,2,TRUE)</f>
        <v>~|(</v>
      </c>
      <c r="L529" s="6">
        <f>FLOOR(VLOOKUP($D529,Sheet1!$D$5:$F$192,3,TRUE),1)</f>
        <v>6</v>
      </c>
      <c r="M529" s="42" t="str">
        <f>VLOOKUP($D529,Sheet1!$D$5:$F$192,2,TRUE)</f>
        <v>~|(</v>
      </c>
      <c r="N529" s="23">
        <f>FLOOR(VLOOKUP($D529,Sheet1!$G$5:$I$192,3,TRUE),1)</f>
        <v>7</v>
      </c>
      <c r="O529" s="42" t="str">
        <f>VLOOKUP($D529,Sheet1!$G$5:$I$192,2,TRUE)</f>
        <v>~|(</v>
      </c>
      <c r="P529" s="23">
        <v>1</v>
      </c>
      <c r="Q529" s="43" t="str">
        <f>VLOOKUP($D529,Sheet1!$J$5:$L$192,2,TRUE)</f>
        <v>~|(.</v>
      </c>
      <c r="R529" s="23">
        <f>FLOOR(VLOOKUP($D529,Sheet1!$M$5:$O$192,3,TRUE),1)</f>
        <v>29</v>
      </c>
      <c r="S529" s="43" t="str">
        <f>VLOOKUP($D529,Sheet1!$M$5:$O$192,2,TRUE)</f>
        <v>~|(.</v>
      </c>
      <c r="T529" s="117">
        <f>IF(ABS(D529-VLOOKUP($D529,Sheet1!$M$5:$T$192,8,TRUE))&lt;10^-10,"SoCA",D529-VLOOKUP($D529,Sheet1!$M$5:$T$192,8,TRUE))</f>
        <v>5.947233790157469E-2</v>
      </c>
      <c r="U529" s="117">
        <f>IF(VLOOKUP($D529,Sheet1!$M$5:$U$192,9,TRUE)=0,"",IF(ABS(D529-VLOOKUP($D529,Sheet1!$M$5:$U$192,9,TRUE))&lt;10^-10,"Alt.",D529-VLOOKUP($D529,Sheet1!$M$5:$U$192,9,TRUE)))</f>
        <v>3.2512042699140764E-2</v>
      </c>
      <c r="V529" s="132">
        <f>$D529-Sheet1!$M$3*$R529</f>
        <v>0.21753405219393684</v>
      </c>
      <c r="Z529" s="6"/>
      <c r="AA529" s="61"/>
    </row>
    <row r="530" spans="1:27" ht="13.5">
      <c r="A530" s="23" t="s">
        <v>594</v>
      </c>
      <c r="B530" s="23">
        <f>2^11*11*13</f>
        <v>292864</v>
      </c>
      <c r="C530" s="23">
        <f>3^10*5</f>
        <v>295245</v>
      </c>
      <c r="D530" s="13">
        <f t="shared" si="12"/>
        <v>14.018118384641697</v>
      </c>
      <c r="E530" s="61">
        <v>13</v>
      </c>
      <c r="F530" s="65">
        <v>49.852406142979831</v>
      </c>
      <c r="G530" s="6">
        <v>342</v>
      </c>
      <c r="H530" s="6">
        <v>439</v>
      </c>
      <c r="I530" s="65">
        <v>9.1368533802718179</v>
      </c>
      <c r="J530" s="6">
        <f>VLOOKUP($D530,Sheet1!$A$5:$C$192,3,TRUE)</f>
        <v>3</v>
      </c>
      <c r="K530" s="42" t="str">
        <f>VLOOKUP($D530,Sheet1!$A$5:$C$192,2,TRUE)</f>
        <v>~|(</v>
      </c>
      <c r="L530" s="6">
        <f>FLOOR(VLOOKUP($D530,Sheet1!$D$5:$F$192,3,TRUE),1)</f>
        <v>6</v>
      </c>
      <c r="M530" s="42" t="str">
        <f>VLOOKUP($D530,Sheet1!$D$5:$F$192,2,TRUE)</f>
        <v>~|(</v>
      </c>
      <c r="N530" s="23">
        <f>FLOOR(VLOOKUP($D530,Sheet1!$G$5:$I$192,3,TRUE),1)</f>
        <v>7</v>
      </c>
      <c r="O530" s="42" t="str">
        <f>VLOOKUP($D530,Sheet1!$G$5:$I$192,2,TRUE)</f>
        <v>~|(</v>
      </c>
      <c r="P530" s="23">
        <v>1</v>
      </c>
      <c r="Q530" s="43" t="str">
        <f>VLOOKUP($D530,Sheet1!$J$5:$L$192,2,TRUE)</f>
        <v>~|(.</v>
      </c>
      <c r="R530" s="23">
        <f>FLOOR(VLOOKUP($D530,Sheet1!$M$5:$O$192,3,TRUE),1)</f>
        <v>29</v>
      </c>
      <c r="S530" s="43" t="str">
        <f>VLOOKUP($D530,Sheet1!$M$5:$O$192,2,TRUE)</f>
        <v>~|(.</v>
      </c>
      <c r="T530" s="117">
        <f>IF(ABS(D530-VLOOKUP($D530,Sheet1!$M$5:$T$192,8,TRUE))&lt;10^-10,"SoCA",D530-VLOOKUP($D530,Sheet1!$M$5:$T$192,8,TRUE))</f>
        <v>-0.28957927674785644</v>
      </c>
      <c r="U530" s="117">
        <f>IF(VLOOKUP($D530,Sheet1!$M$5:$U$192,9,TRUE)=0,"",IF(ABS(D530-VLOOKUP($D530,Sheet1!$M$5:$U$192,9,TRUE))&lt;10^-10,"Alt.",D530-VLOOKUP($D530,Sheet1!$M$5:$U$192,9,TRUE)))</f>
        <v>-0.31653957195029037</v>
      </c>
      <c r="V530" s="132">
        <f>$D530-Sheet1!$M$3*$R530</f>
        <v>-0.13151756245549429</v>
      </c>
      <c r="Z530" s="6"/>
      <c r="AA530" s="61"/>
    </row>
    <row r="531" spans="1:27" ht="13.5">
      <c r="A531" t="s">
        <v>1616</v>
      </c>
      <c r="B531">
        <v>164025</v>
      </c>
      <c r="C531">
        <v>165376</v>
      </c>
      <c r="D531" s="13">
        <f t="shared" si="12"/>
        <v>14.200990979940968</v>
      </c>
      <c r="E531" s="61">
        <v>19</v>
      </c>
      <c r="F531" s="65">
        <v>53.755615104959276</v>
      </c>
      <c r="G531" s="6">
        <v>1521</v>
      </c>
      <c r="H531" s="6">
        <v>1465</v>
      </c>
      <c r="I531" s="65">
        <v>-8.8744067516618959</v>
      </c>
      <c r="J531" s="6">
        <f>VLOOKUP($D531,Sheet1!$A$5:$C$192,3,TRUE)</f>
        <v>3</v>
      </c>
      <c r="K531" s="42" t="str">
        <f>VLOOKUP($D531,Sheet1!$A$5:$C$192,2,TRUE)</f>
        <v>~|(</v>
      </c>
      <c r="L531" s="6">
        <f>FLOOR(VLOOKUP($D531,Sheet1!$D$5:$F$192,3,TRUE),1)</f>
        <v>6</v>
      </c>
      <c r="M531" s="42" t="str">
        <f>VLOOKUP($D531,Sheet1!$D$5:$F$192,2,TRUE)</f>
        <v>~|(</v>
      </c>
      <c r="N531" s="23">
        <f>FLOOR(VLOOKUP($D531,Sheet1!$G$5:$I$192,3,TRUE),1)</f>
        <v>7</v>
      </c>
      <c r="O531" s="42" t="str">
        <f>VLOOKUP($D531,Sheet1!$G$5:$I$192,2,TRUE)</f>
        <v>~|(</v>
      </c>
      <c r="P531" s="23">
        <v>1</v>
      </c>
      <c r="Q531" s="43" t="str">
        <f>VLOOKUP($D531,Sheet1!$J$5:$L$192,2,TRUE)</f>
        <v>~|(.</v>
      </c>
      <c r="R531" s="23">
        <f>FLOOR(VLOOKUP($D531,Sheet1!$M$5:$O$192,3,TRUE),1)</f>
        <v>29</v>
      </c>
      <c r="S531" s="42" t="str">
        <f>VLOOKUP($D531,Sheet1!$M$5:$O$192,2,TRUE)</f>
        <v>~|(.</v>
      </c>
      <c r="T531" s="117">
        <f>IF(ABS(D531-VLOOKUP($D531,Sheet1!$M$5:$T$192,8,TRUE))&lt;10^-10,"SoCA",D531-VLOOKUP($D531,Sheet1!$M$5:$T$192,8,TRUE))</f>
        <v>-0.10670668144858553</v>
      </c>
      <c r="U531" s="109">
        <f>IF(VLOOKUP($D531,Sheet1!$M$5:$U$192,9,TRUE)=0,"",IF(ABS(D531-VLOOKUP($D531,Sheet1!$M$5:$U$192,9,TRUE))&lt;10^-10,"Alt.",D531-VLOOKUP($D531,Sheet1!$M$5:$U$192,9,TRUE)))</f>
        <v>-0.13366697665101945</v>
      </c>
      <c r="V531" s="132">
        <f>$D531-Sheet1!$M$3*$R531</f>
        <v>5.1355032843776627E-2</v>
      </c>
      <c r="Z531" s="6"/>
      <c r="AA531" s="61"/>
    </row>
    <row r="532" spans="1:27" ht="13.5">
      <c r="A532" t="s">
        <v>921</v>
      </c>
      <c r="B532">
        <v>1587</v>
      </c>
      <c r="C532">
        <v>1600</v>
      </c>
      <c r="D532" s="13">
        <f t="shared" si="12"/>
        <v>14.123732327451203</v>
      </c>
      <c r="E532" s="61">
        <v>23</v>
      </c>
      <c r="F532" s="65">
        <v>56.063417325374118</v>
      </c>
      <c r="G532" s="6">
        <v>830</v>
      </c>
      <c r="H532" s="6">
        <v>769</v>
      </c>
      <c r="I532" s="65">
        <v>-1.869649654959505</v>
      </c>
      <c r="J532" s="6">
        <f>VLOOKUP($D532,Sheet1!$A$5:$C$192,3,TRUE)</f>
        <v>3</v>
      </c>
      <c r="K532" s="42" t="str">
        <f>VLOOKUP($D532,Sheet1!$A$5:$C$192,2,TRUE)</f>
        <v>~|(</v>
      </c>
      <c r="L532" s="6">
        <f>FLOOR(VLOOKUP($D532,Sheet1!$D$5:$F$192,3,TRUE),1)</f>
        <v>6</v>
      </c>
      <c r="M532" s="42" t="str">
        <f>VLOOKUP($D532,Sheet1!$D$5:$F$192,2,TRUE)</f>
        <v>~|(</v>
      </c>
      <c r="N532" s="23">
        <f>FLOOR(VLOOKUP($D532,Sheet1!$G$5:$I$192,3,TRUE),1)</f>
        <v>7</v>
      </c>
      <c r="O532" s="42" t="str">
        <f>VLOOKUP($D532,Sheet1!$G$5:$I$192,2,TRUE)</f>
        <v>~|(</v>
      </c>
      <c r="P532" s="23">
        <v>1</v>
      </c>
      <c r="Q532" s="43" t="str">
        <f>VLOOKUP($D532,Sheet1!$J$5:$L$192,2,TRUE)</f>
        <v>~|(.</v>
      </c>
      <c r="R532" s="23">
        <f>FLOOR(VLOOKUP($D532,Sheet1!$M$5:$O$192,3,TRUE),1)</f>
        <v>29</v>
      </c>
      <c r="S532" s="42" t="str">
        <f>VLOOKUP($D532,Sheet1!$M$5:$O$192,2,TRUE)</f>
        <v>~|(.</v>
      </c>
      <c r="T532" s="117">
        <f>IF(ABS(D532-VLOOKUP($D532,Sheet1!$M$5:$T$192,8,TRUE))&lt;10^-10,"SoCA",D532-VLOOKUP($D532,Sheet1!$M$5:$T$192,8,TRUE))</f>
        <v>-0.18396533393835135</v>
      </c>
      <c r="U532" s="109">
        <f>IF(VLOOKUP($D532,Sheet1!$M$5:$U$192,9,TRUE)=0,"",IF(ABS(D532-VLOOKUP($D532,Sheet1!$M$5:$U$192,9,TRUE))&lt;10^-10,"Alt.",D532-VLOOKUP($D532,Sheet1!$M$5:$U$192,9,TRUE)))</f>
        <v>-0.21092562914078528</v>
      </c>
      <c r="V532" s="132">
        <f>$D532-Sheet1!$M$3*$R532</f>
        <v>-2.5903619645989195E-2</v>
      </c>
      <c r="Z532" s="6"/>
      <c r="AA532" s="61"/>
    </row>
    <row r="533" spans="1:27" ht="13.5">
      <c r="A533" t="s">
        <v>1049</v>
      </c>
      <c r="B533">
        <v>917504</v>
      </c>
      <c r="C533">
        <v>925101</v>
      </c>
      <c r="D533" s="13">
        <f t="shared" si="12"/>
        <v>14.275723332526622</v>
      </c>
      <c r="E533" s="61">
        <v>47</v>
      </c>
      <c r="F533" s="65">
        <v>62.788065520031012</v>
      </c>
      <c r="G533" s="6">
        <v>657</v>
      </c>
      <c r="H533" s="6">
        <v>897</v>
      </c>
      <c r="I533" s="65">
        <v>8.1209917051246219</v>
      </c>
      <c r="J533" s="6">
        <f>VLOOKUP($D533,Sheet1!$A$5:$C$192,3,TRUE)</f>
        <v>3</v>
      </c>
      <c r="K533" s="42" t="str">
        <f>VLOOKUP($D533,Sheet1!$A$5:$C$192,2,TRUE)</f>
        <v>~|(</v>
      </c>
      <c r="L533" s="6">
        <f>FLOOR(VLOOKUP($D533,Sheet1!$D$5:$F$192,3,TRUE),1)</f>
        <v>6</v>
      </c>
      <c r="M533" s="42" t="str">
        <f>VLOOKUP($D533,Sheet1!$D$5:$F$192,2,TRUE)</f>
        <v>~|(</v>
      </c>
      <c r="N533" s="23">
        <f>FLOOR(VLOOKUP($D533,Sheet1!$G$5:$I$192,3,TRUE),1)</f>
        <v>7</v>
      </c>
      <c r="O533" s="42" t="str">
        <f>VLOOKUP($D533,Sheet1!$G$5:$I$192,2,TRUE)</f>
        <v>~|(</v>
      </c>
      <c r="P533" s="23">
        <v>1</v>
      </c>
      <c r="Q533" s="43" t="str">
        <f>VLOOKUP($D533,Sheet1!$J$5:$L$192,2,TRUE)</f>
        <v>~|(.</v>
      </c>
      <c r="R533" s="23">
        <f>FLOOR(VLOOKUP($D533,Sheet1!$M$5:$O$192,3,TRUE),1)</f>
        <v>29</v>
      </c>
      <c r="S533" s="42" t="str">
        <f>VLOOKUP($D533,Sheet1!$M$5:$O$192,2,TRUE)</f>
        <v>~|(.</v>
      </c>
      <c r="T533" s="117">
        <f>IF(ABS(D533-VLOOKUP($D533,Sheet1!$M$5:$T$192,8,TRUE))&lt;10^-10,"SoCA",D533-VLOOKUP($D533,Sheet1!$M$5:$T$192,8,TRUE))</f>
        <v>-3.19743288629315E-2</v>
      </c>
      <c r="U533" s="109">
        <f>IF(VLOOKUP($D533,Sheet1!$M$5:$U$192,9,TRUE)=0,"",IF(ABS(D533-VLOOKUP($D533,Sheet1!$M$5:$U$192,9,TRUE))&lt;10^-10,"Alt.",D533-VLOOKUP($D533,Sheet1!$M$5:$U$192,9,TRUE)))</f>
        <v>-5.8934624065365426E-2</v>
      </c>
      <c r="V533" s="132">
        <f>$D533-Sheet1!$M$3*$R533</f>
        <v>0.12608738542943065</v>
      </c>
      <c r="Z533" s="6"/>
      <c r="AA533" s="61"/>
    </row>
    <row r="534" spans="1:27" ht="13.5">
      <c r="A534" t="s">
        <v>725</v>
      </c>
      <c r="B534">
        <v>2349</v>
      </c>
      <c r="C534">
        <v>2368</v>
      </c>
      <c r="D534" s="13">
        <f t="shared" si="12"/>
        <v>13.946841140103597</v>
      </c>
      <c r="E534" s="61">
        <v>37</v>
      </c>
      <c r="F534" s="65">
        <v>66.524650451735596</v>
      </c>
      <c r="G534" s="6">
        <v>614</v>
      </c>
      <c r="H534" s="6">
        <v>570</v>
      </c>
      <c r="I534" s="65">
        <v>-4.8587578201048309</v>
      </c>
      <c r="J534" s="6">
        <f>VLOOKUP($D534,Sheet1!$A$5:$C$192,3,TRUE)</f>
        <v>3</v>
      </c>
      <c r="K534" s="42" t="str">
        <f>VLOOKUP($D534,Sheet1!$A$5:$C$192,2,TRUE)</f>
        <v>~|(</v>
      </c>
      <c r="L534" s="6">
        <f>FLOOR(VLOOKUP($D534,Sheet1!$D$5:$F$192,3,TRUE),1)</f>
        <v>6</v>
      </c>
      <c r="M534" s="42" t="str">
        <f>VLOOKUP($D534,Sheet1!$D$5:$F$192,2,TRUE)</f>
        <v>~|(</v>
      </c>
      <c r="N534" s="23">
        <f>FLOOR(VLOOKUP($D534,Sheet1!$G$5:$I$192,3,TRUE),1)</f>
        <v>7</v>
      </c>
      <c r="O534" s="42" t="str">
        <f>VLOOKUP($D534,Sheet1!$G$5:$I$192,2,TRUE)</f>
        <v>~|(</v>
      </c>
      <c r="P534" s="23">
        <v>1</v>
      </c>
      <c r="Q534" s="43" t="str">
        <f>VLOOKUP($D534,Sheet1!$J$5:$L$192,2,TRUE)</f>
        <v>~|(.</v>
      </c>
      <c r="R534" s="23">
        <f>FLOOR(VLOOKUP($D534,Sheet1!$M$5:$O$192,3,TRUE),1)</f>
        <v>29</v>
      </c>
      <c r="S534" s="42" t="str">
        <f>VLOOKUP($D534,Sheet1!$M$5:$O$192,2,TRUE)</f>
        <v>~|(.</v>
      </c>
      <c r="T534" s="117">
        <f>IF(ABS(D534-VLOOKUP($D534,Sheet1!$M$5:$T$192,8,TRUE))&lt;10^-10,"SoCA",D534-VLOOKUP($D534,Sheet1!$M$5:$T$192,8,TRUE))</f>
        <v>-0.36085652128595669</v>
      </c>
      <c r="U534" s="109">
        <f>IF(VLOOKUP($D534,Sheet1!$M$5:$U$192,9,TRUE)=0,"",IF(ABS(D534-VLOOKUP($D534,Sheet1!$M$5:$U$192,9,TRUE))&lt;10^-10,"Alt.",D534-VLOOKUP($D534,Sheet1!$M$5:$U$192,9,TRUE)))</f>
        <v>-0.38781681648839061</v>
      </c>
      <c r="V534" s="132">
        <f>$D534-Sheet1!$M$3*$R534</f>
        <v>-0.20279480699359453</v>
      </c>
      <c r="Z534" s="6"/>
      <c r="AA534" s="61"/>
    </row>
    <row r="535" spans="1:27" ht="13.5">
      <c r="A535" t="s">
        <v>920</v>
      </c>
      <c r="B535">
        <v>123</v>
      </c>
      <c r="C535">
        <v>124</v>
      </c>
      <c r="D535" s="13">
        <f t="shared" si="12"/>
        <v>14.018166057162286</v>
      </c>
      <c r="E535" s="61">
        <v>41</v>
      </c>
      <c r="F535" s="65">
        <v>72.067026990262718</v>
      </c>
      <c r="G535" s="6">
        <v>829</v>
      </c>
      <c r="H535" s="6">
        <v>768</v>
      </c>
      <c r="I535" s="65">
        <v>-1.8631495550989545</v>
      </c>
      <c r="J535" s="6">
        <f>VLOOKUP($D535,Sheet1!$A$5:$C$192,3,TRUE)</f>
        <v>3</v>
      </c>
      <c r="K535" s="42" t="str">
        <f>VLOOKUP($D535,Sheet1!$A$5:$C$192,2,TRUE)</f>
        <v>~|(</v>
      </c>
      <c r="L535" s="6">
        <f>FLOOR(VLOOKUP($D535,Sheet1!$D$5:$F$192,3,TRUE),1)</f>
        <v>6</v>
      </c>
      <c r="M535" s="42" t="str">
        <f>VLOOKUP($D535,Sheet1!$D$5:$F$192,2,TRUE)</f>
        <v>~|(</v>
      </c>
      <c r="N535" s="23">
        <f>FLOOR(VLOOKUP($D535,Sheet1!$G$5:$I$192,3,TRUE),1)</f>
        <v>7</v>
      </c>
      <c r="O535" s="42" t="str">
        <f>VLOOKUP($D535,Sheet1!$G$5:$I$192,2,TRUE)</f>
        <v>~|(</v>
      </c>
      <c r="P535" s="23">
        <v>1</v>
      </c>
      <c r="Q535" s="43" t="str">
        <f>VLOOKUP($D535,Sheet1!$J$5:$L$192,2,TRUE)</f>
        <v>~|(.</v>
      </c>
      <c r="R535" s="23">
        <f>FLOOR(VLOOKUP($D535,Sheet1!$M$5:$O$192,3,TRUE),1)</f>
        <v>29</v>
      </c>
      <c r="S535" s="42" t="str">
        <f>VLOOKUP($D535,Sheet1!$M$5:$O$192,2,TRUE)</f>
        <v>~|(.</v>
      </c>
      <c r="T535" s="117">
        <f>IF(ABS(D535-VLOOKUP($D535,Sheet1!$M$5:$T$192,8,TRUE))&lt;10^-10,"SoCA",D535-VLOOKUP($D535,Sheet1!$M$5:$T$192,8,TRUE))</f>
        <v>-0.28953160422726754</v>
      </c>
      <c r="U535" s="109">
        <f>IF(VLOOKUP($D535,Sheet1!$M$5:$U$192,9,TRUE)=0,"",IF(ABS(D535-VLOOKUP($D535,Sheet1!$M$5:$U$192,9,TRUE))&lt;10^-10,"Alt.",D535-VLOOKUP($D535,Sheet1!$M$5:$U$192,9,TRUE)))</f>
        <v>-0.31649189942970146</v>
      </c>
      <c r="V535" s="132">
        <f>$D535-Sheet1!$M$3*$R535</f>
        <v>-0.13146988993490538</v>
      </c>
      <c r="Z535" s="6"/>
      <c r="AA535" s="61"/>
    </row>
    <row r="536" spans="1:27" ht="13.5">
      <c r="A536" t="s">
        <v>1040</v>
      </c>
      <c r="B536">
        <v>10285</v>
      </c>
      <c r="C536">
        <v>10368</v>
      </c>
      <c r="D536" s="13">
        <f t="shared" si="12"/>
        <v>13.914995366794336</v>
      </c>
      <c r="E536" s="61">
        <v>17</v>
      </c>
      <c r="F536" s="65">
        <v>79.462634025529525</v>
      </c>
      <c r="G536" s="6">
        <v>959</v>
      </c>
      <c r="H536" s="6">
        <v>888</v>
      </c>
      <c r="I536" s="65">
        <v>3.1432030401782889</v>
      </c>
      <c r="J536" s="6">
        <f>VLOOKUP($D536,Sheet1!$A$5:$C$192,3,TRUE)</f>
        <v>3</v>
      </c>
      <c r="K536" s="42" t="str">
        <f>VLOOKUP($D536,Sheet1!$A$5:$C$192,2,TRUE)</f>
        <v>~|(</v>
      </c>
      <c r="L536" s="6">
        <f>FLOOR(VLOOKUP($D536,Sheet1!$D$5:$F$192,3,TRUE),1)</f>
        <v>6</v>
      </c>
      <c r="M536" s="42" t="str">
        <f>VLOOKUP($D536,Sheet1!$D$5:$F$192,2,TRUE)</f>
        <v>~|(</v>
      </c>
      <c r="N536" s="23">
        <f>FLOOR(VLOOKUP($D536,Sheet1!$G$5:$I$192,3,TRUE),1)</f>
        <v>7</v>
      </c>
      <c r="O536" s="42" t="str">
        <f>VLOOKUP($D536,Sheet1!$G$5:$I$192,2,TRUE)</f>
        <v>~|(</v>
      </c>
      <c r="P536" s="23">
        <v>1</v>
      </c>
      <c r="Q536" s="43" t="str">
        <f>VLOOKUP($D536,Sheet1!$J$5:$L$192,2,TRUE)</f>
        <v>~|(.</v>
      </c>
      <c r="R536" s="23">
        <f>FLOOR(VLOOKUP($D536,Sheet1!$M$5:$O$192,3,TRUE),1)</f>
        <v>29</v>
      </c>
      <c r="S536" s="42" t="str">
        <f>VLOOKUP($D536,Sheet1!$M$5:$O$192,2,TRUE)</f>
        <v>~|(.</v>
      </c>
      <c r="T536" s="117">
        <f>IF(ABS(D536-VLOOKUP($D536,Sheet1!$M$5:$T$192,8,TRUE))&lt;10^-10,"SoCA",D536-VLOOKUP($D536,Sheet1!$M$5:$T$192,8,TRUE))</f>
        <v>-0.39270229459521744</v>
      </c>
      <c r="U536" s="109">
        <f>IF(VLOOKUP($D536,Sheet1!$M$5:$U$192,9,TRUE)=0,"",IF(ABS(D536-VLOOKUP($D536,Sheet1!$M$5:$U$192,9,TRUE))&lt;10^-10,"Alt.",D536-VLOOKUP($D536,Sheet1!$M$5:$U$192,9,TRUE)))</f>
        <v>-0.41966258979765136</v>
      </c>
      <c r="V536" s="132">
        <f>$D536-Sheet1!$M$3*$R536</f>
        <v>-0.23464058030285528</v>
      </c>
      <c r="Z536" s="6"/>
      <c r="AA536" s="61"/>
    </row>
    <row r="537" spans="1:27" ht="13.5">
      <c r="A537" s="6" t="s">
        <v>326</v>
      </c>
      <c r="B537" s="6">
        <f>3^2*67</f>
        <v>603</v>
      </c>
      <c r="C537" s="6">
        <f>2^5*19</f>
        <v>608</v>
      </c>
      <c r="D537" s="13">
        <f t="shared" si="12"/>
        <v>14.295985852200964</v>
      </c>
      <c r="E537" s="61" t="s">
        <v>1931</v>
      </c>
      <c r="F537" s="65">
        <v>86.140523980208187</v>
      </c>
      <c r="G537" s="6">
        <v>171</v>
      </c>
      <c r="H537" s="6">
        <v>158</v>
      </c>
      <c r="I537" s="65">
        <v>-2.8802559320321053</v>
      </c>
      <c r="J537" s="6">
        <f>VLOOKUP($D537,Sheet1!$A$5:$C$192,3,TRUE)</f>
        <v>3</v>
      </c>
      <c r="K537" s="42" t="str">
        <f>VLOOKUP($D537,Sheet1!$A$5:$C$192,2,TRUE)</f>
        <v>~|(</v>
      </c>
      <c r="L537" s="6">
        <f>FLOOR(VLOOKUP($D537,Sheet1!$D$5:$F$192,3,TRUE),1)</f>
        <v>6</v>
      </c>
      <c r="M537" s="42" t="str">
        <f>VLOOKUP($D537,Sheet1!$D$5:$F$192,2,TRUE)</f>
        <v>~|(</v>
      </c>
      <c r="N537" s="23">
        <f>FLOOR(VLOOKUP($D537,Sheet1!$G$5:$I$192,3,TRUE),1)</f>
        <v>7</v>
      </c>
      <c r="O537" s="42" t="str">
        <f>VLOOKUP($D537,Sheet1!$G$5:$I$192,2,TRUE)</f>
        <v>~|(</v>
      </c>
      <c r="P537" s="23">
        <v>1</v>
      </c>
      <c r="Q537" s="43" t="str">
        <f>VLOOKUP($D537,Sheet1!$J$5:$L$192,2,TRUE)</f>
        <v>~|(.</v>
      </c>
      <c r="R537" s="23">
        <f>FLOOR(VLOOKUP($D537,Sheet1!$M$5:$O$192,3,TRUE),1)</f>
        <v>29</v>
      </c>
      <c r="S537" s="42" t="str">
        <f>VLOOKUP($D537,Sheet1!$M$5:$O$192,2,TRUE)</f>
        <v>~|(.</v>
      </c>
      <c r="T537" s="117">
        <f>IF(ABS(D537-VLOOKUP($D537,Sheet1!$M$5:$T$192,8,TRUE))&lt;10^-10,"SoCA",D537-VLOOKUP($D537,Sheet1!$M$5:$T$192,8,TRUE))</f>
        <v>-1.1711809188589939E-2</v>
      </c>
      <c r="U537" s="109">
        <f>IF(VLOOKUP($D537,Sheet1!$M$5:$U$192,9,TRUE)=0,"",IF(ABS(D537-VLOOKUP($D537,Sheet1!$M$5:$U$192,9,TRUE))&lt;10^-10,"Alt.",D537-VLOOKUP($D537,Sheet1!$M$5:$U$192,9,TRUE)))</f>
        <v>-3.8672104391023865E-2</v>
      </c>
      <c r="V537" s="132">
        <f>$D537-Sheet1!$M$3*$R537</f>
        <v>0.14634990510377222</v>
      </c>
      <c r="Z537" s="6"/>
      <c r="AA537" s="61"/>
    </row>
    <row r="538" spans="1:27" ht="13.5">
      <c r="A538" t="s">
        <v>832</v>
      </c>
      <c r="B538">
        <v>848</v>
      </c>
      <c r="C538">
        <v>855</v>
      </c>
      <c r="D538" s="13">
        <f t="shared" si="12"/>
        <v>14.23218625207311</v>
      </c>
      <c r="E538" s="61" t="s">
        <v>1931</v>
      </c>
      <c r="F538" s="65">
        <v>92.474574518102273</v>
      </c>
      <c r="G538" s="6">
        <v>701</v>
      </c>
      <c r="H538" s="6">
        <v>679</v>
      </c>
      <c r="I538" s="65">
        <v>1.1236724417823647</v>
      </c>
      <c r="J538" s="6">
        <f>VLOOKUP($D538,Sheet1!$A$5:$C$192,3,TRUE)</f>
        <v>3</v>
      </c>
      <c r="K538" s="42" t="str">
        <f>VLOOKUP($D538,Sheet1!$A$5:$C$192,2,TRUE)</f>
        <v>~|(</v>
      </c>
      <c r="L538" s="6">
        <f>FLOOR(VLOOKUP($D538,Sheet1!$D$5:$F$192,3,TRUE),1)</f>
        <v>6</v>
      </c>
      <c r="M538" s="42" t="str">
        <f>VLOOKUP($D538,Sheet1!$D$5:$F$192,2,TRUE)</f>
        <v>~|(</v>
      </c>
      <c r="N538" s="23">
        <f>FLOOR(VLOOKUP($D538,Sheet1!$G$5:$I$192,3,TRUE),1)</f>
        <v>7</v>
      </c>
      <c r="O538" s="42" t="str">
        <f>VLOOKUP($D538,Sheet1!$G$5:$I$192,2,TRUE)</f>
        <v>~|(</v>
      </c>
      <c r="P538" s="23">
        <v>1</v>
      </c>
      <c r="Q538" s="43" t="str">
        <f>VLOOKUP($D538,Sheet1!$J$5:$L$192,2,TRUE)</f>
        <v>~|(.</v>
      </c>
      <c r="R538" s="23">
        <f>FLOOR(VLOOKUP($D538,Sheet1!$M$5:$O$192,3,TRUE),1)</f>
        <v>29</v>
      </c>
      <c r="S538" s="42" t="str">
        <f>VLOOKUP($D538,Sheet1!$M$5:$O$192,2,TRUE)</f>
        <v>~|(.</v>
      </c>
      <c r="T538" s="117">
        <f>IF(ABS(D538-VLOOKUP($D538,Sheet1!$M$5:$T$192,8,TRUE))&lt;10^-10,"SoCA",D538-VLOOKUP($D538,Sheet1!$M$5:$T$192,8,TRUE))</f>
        <v>-7.55114093164444E-2</v>
      </c>
      <c r="U538" s="109">
        <f>IF(VLOOKUP($D538,Sheet1!$M$5:$U$192,9,TRUE)=0,"",IF(ABS(D538-VLOOKUP($D538,Sheet1!$M$5:$U$192,9,TRUE))&lt;10^-10,"Alt.",D538-VLOOKUP($D538,Sheet1!$M$5:$U$192,9,TRUE)))</f>
        <v>-0.10247170451887833</v>
      </c>
      <c r="V538" s="132">
        <f>$D538-Sheet1!$M$3*$R538</f>
        <v>8.2550304975917754E-2</v>
      </c>
      <c r="Z538" s="6"/>
      <c r="AA538" s="61"/>
    </row>
    <row r="539" spans="1:27" ht="13.5">
      <c r="A539" t="s">
        <v>1312</v>
      </c>
      <c r="B539">
        <v>8505</v>
      </c>
      <c r="C539">
        <v>8576</v>
      </c>
      <c r="D539" s="13">
        <f t="shared" si="12"/>
        <v>14.392403888430088</v>
      </c>
      <c r="E539" s="61" t="s">
        <v>1931</v>
      </c>
      <c r="F539" s="65">
        <v>95.906328188026137</v>
      </c>
      <c r="G539" s="6">
        <v>1220</v>
      </c>
      <c r="H539" s="6">
        <v>1161</v>
      </c>
      <c r="I539" s="65">
        <v>-5.8861927417927635</v>
      </c>
      <c r="J539" s="6">
        <f>VLOOKUP($D539,Sheet1!$A$5:$C$192,3,TRUE)</f>
        <v>3</v>
      </c>
      <c r="K539" s="42" t="str">
        <f>VLOOKUP($D539,Sheet1!$A$5:$C$192,2,TRUE)</f>
        <v>~|(</v>
      </c>
      <c r="L539" s="6">
        <f>FLOOR(VLOOKUP($D539,Sheet1!$D$5:$F$192,3,TRUE),1)</f>
        <v>6</v>
      </c>
      <c r="M539" s="42" t="str">
        <f>VLOOKUP($D539,Sheet1!$D$5:$F$192,2,TRUE)</f>
        <v>~|(</v>
      </c>
      <c r="N539" s="23">
        <f>FLOOR(VLOOKUP($D539,Sheet1!$G$5:$I$192,3,TRUE),1)</f>
        <v>7</v>
      </c>
      <c r="O539" s="42" t="str">
        <f>VLOOKUP($D539,Sheet1!$G$5:$I$192,2,TRUE)</f>
        <v>~|(</v>
      </c>
      <c r="P539" s="23">
        <v>1</v>
      </c>
      <c r="Q539" s="43" t="str">
        <f>VLOOKUP($D539,Sheet1!$J$5:$L$192,2,TRUE)</f>
        <v>~|(.</v>
      </c>
      <c r="R539" s="23">
        <f>FLOOR(VLOOKUP($D539,Sheet1!$M$5:$O$192,3,TRUE),1)</f>
        <v>29</v>
      </c>
      <c r="S539" s="42" t="str">
        <f>VLOOKUP($D539,Sheet1!$M$5:$O$192,2,TRUE)</f>
        <v>~|(.</v>
      </c>
      <c r="T539" s="117">
        <f>IF(ABS(D539-VLOOKUP($D539,Sheet1!$M$5:$T$192,8,TRUE))&lt;10^-10,"SoCA",D539-VLOOKUP($D539,Sheet1!$M$5:$T$192,8,TRUE))</f>
        <v>8.4706227040534543E-2</v>
      </c>
      <c r="U539" s="109">
        <f>IF(VLOOKUP($D539,Sheet1!$M$5:$U$192,9,TRUE)=0,"",IF(ABS(D539-VLOOKUP($D539,Sheet1!$M$5:$U$192,9,TRUE))&lt;10^-10,"Alt.",D539-VLOOKUP($D539,Sheet1!$M$5:$U$192,9,TRUE)))</f>
        <v>5.7745931838100617E-2</v>
      </c>
      <c r="V539" s="132">
        <f>$D539-Sheet1!$M$3*$R539</f>
        <v>0.2427679413328967</v>
      </c>
      <c r="Z539" s="6"/>
      <c r="AA539" s="61"/>
    </row>
    <row r="540" spans="1:27" ht="13.5">
      <c r="A540" t="s">
        <v>1485</v>
      </c>
      <c r="B540">
        <v>58564</v>
      </c>
      <c r="C540">
        <v>59049</v>
      </c>
      <c r="D540" s="13">
        <f t="shared" si="12"/>
        <v>14.278239194847385</v>
      </c>
      <c r="E540" s="61">
        <v>11</v>
      </c>
      <c r="F540" s="65">
        <v>95.916591037754557</v>
      </c>
      <c r="G540" s="6">
        <v>1263</v>
      </c>
      <c r="H540" s="6">
        <v>1334</v>
      </c>
      <c r="I540" s="65">
        <v>9.120836794315748</v>
      </c>
      <c r="J540" s="6">
        <f>VLOOKUP($D540,Sheet1!$A$5:$C$192,3,TRUE)</f>
        <v>3</v>
      </c>
      <c r="K540" s="42" t="str">
        <f>VLOOKUP($D540,Sheet1!$A$5:$C$192,2,TRUE)</f>
        <v>~|(</v>
      </c>
      <c r="L540" s="6">
        <f>FLOOR(VLOOKUP($D540,Sheet1!$D$5:$F$192,3,TRUE),1)</f>
        <v>6</v>
      </c>
      <c r="M540" s="42" t="str">
        <f>VLOOKUP($D540,Sheet1!$D$5:$F$192,2,TRUE)</f>
        <v>~|(</v>
      </c>
      <c r="N540" s="23">
        <f>FLOOR(VLOOKUP($D540,Sheet1!$G$5:$I$192,3,TRUE),1)</f>
        <v>7</v>
      </c>
      <c r="O540" s="42" t="str">
        <f>VLOOKUP($D540,Sheet1!$G$5:$I$192,2,TRUE)</f>
        <v>~|(</v>
      </c>
      <c r="P540" s="23">
        <v>1</v>
      </c>
      <c r="Q540" s="43" t="str">
        <f>VLOOKUP($D540,Sheet1!$J$5:$L$192,2,TRUE)</f>
        <v>~|(.</v>
      </c>
      <c r="R540" s="23">
        <f>FLOOR(VLOOKUP($D540,Sheet1!$M$5:$O$192,3,TRUE),1)</f>
        <v>29</v>
      </c>
      <c r="S540" s="42" t="str">
        <f>VLOOKUP($D540,Sheet1!$M$5:$O$192,2,TRUE)</f>
        <v>~|(.</v>
      </c>
      <c r="T540" s="117">
        <f>IF(ABS(D540-VLOOKUP($D540,Sheet1!$M$5:$T$192,8,TRUE))&lt;10^-10,"SoCA",D540-VLOOKUP($D540,Sheet1!$M$5:$T$192,8,TRUE))</f>
        <v>-2.9458466542168438E-2</v>
      </c>
      <c r="U540" s="109">
        <f>IF(VLOOKUP($D540,Sheet1!$M$5:$U$192,9,TRUE)=0,"",IF(ABS(D540-VLOOKUP($D540,Sheet1!$M$5:$U$192,9,TRUE))&lt;10^-10,"Alt.",D540-VLOOKUP($D540,Sheet1!$M$5:$U$192,9,TRUE)))</f>
        <v>-5.6418761744602364E-2</v>
      </c>
      <c r="V540" s="132">
        <f>$D540-Sheet1!$M$3*$R540</f>
        <v>0.12860324775019372</v>
      </c>
      <c r="Z540" s="6"/>
      <c r="AA540" s="61"/>
    </row>
    <row r="541" spans="1:27" ht="13.5">
      <c r="A541" t="s">
        <v>749</v>
      </c>
      <c r="B541">
        <v>122</v>
      </c>
      <c r="C541">
        <v>123</v>
      </c>
      <c r="D541" s="13">
        <f t="shared" si="12"/>
        <v>14.132601331624143</v>
      </c>
      <c r="E541" s="61" t="s">
        <v>1931</v>
      </c>
      <c r="F541" s="65">
        <v>102.039693052345</v>
      </c>
      <c r="G541" s="6">
        <v>651</v>
      </c>
      <c r="H541" s="6">
        <v>594</v>
      </c>
      <c r="I541" s="65">
        <v>0.12980424814202574</v>
      </c>
      <c r="J541" s="6">
        <f>VLOOKUP($D541,Sheet1!$A$5:$C$192,3,TRUE)</f>
        <v>3</v>
      </c>
      <c r="K541" s="42" t="str">
        <f>VLOOKUP($D541,Sheet1!$A$5:$C$192,2,TRUE)</f>
        <v>~|(</v>
      </c>
      <c r="L541" s="6">
        <f>FLOOR(VLOOKUP($D541,Sheet1!$D$5:$F$192,3,TRUE),1)</f>
        <v>6</v>
      </c>
      <c r="M541" s="42" t="str">
        <f>VLOOKUP($D541,Sheet1!$D$5:$F$192,2,TRUE)</f>
        <v>~|(</v>
      </c>
      <c r="N541" s="23">
        <f>FLOOR(VLOOKUP($D541,Sheet1!$G$5:$I$192,3,TRUE),1)</f>
        <v>7</v>
      </c>
      <c r="O541" s="42" t="str">
        <f>VLOOKUP($D541,Sheet1!$G$5:$I$192,2,TRUE)</f>
        <v>~|(</v>
      </c>
      <c r="P541" s="23">
        <v>1</v>
      </c>
      <c r="Q541" s="43" t="str">
        <f>VLOOKUP($D541,Sheet1!$J$5:$L$192,2,TRUE)</f>
        <v>~|(.</v>
      </c>
      <c r="R541" s="23">
        <f>FLOOR(VLOOKUP($D541,Sheet1!$M$5:$O$192,3,TRUE),1)</f>
        <v>29</v>
      </c>
      <c r="S541" s="42" t="str">
        <f>VLOOKUP($D541,Sheet1!$M$5:$O$192,2,TRUE)</f>
        <v>~|(.</v>
      </c>
      <c r="T541" s="117">
        <f>IF(ABS(D541-VLOOKUP($D541,Sheet1!$M$5:$T$192,8,TRUE))&lt;10^-10,"SoCA",D541-VLOOKUP($D541,Sheet1!$M$5:$T$192,8,TRUE))</f>
        <v>-0.17509632976541134</v>
      </c>
      <c r="U541" s="109">
        <f>IF(VLOOKUP($D541,Sheet1!$M$5:$U$192,9,TRUE)=0,"",IF(ABS(D541-VLOOKUP($D541,Sheet1!$M$5:$U$192,9,TRUE))&lt;10^-10,"Alt.",D541-VLOOKUP($D541,Sheet1!$M$5:$U$192,9,TRUE)))</f>
        <v>-0.20205662496784527</v>
      </c>
      <c r="V541" s="132">
        <f>$D541-Sheet1!$M$3*$R541</f>
        <v>-1.7034615473049186E-2</v>
      </c>
      <c r="Z541" s="6"/>
      <c r="AA541" s="61"/>
    </row>
    <row r="542" spans="1:27" ht="13.5">
      <c r="A542" t="s">
        <v>1331</v>
      </c>
      <c r="B542">
        <v>1355776</v>
      </c>
      <c r="C542">
        <v>1366875</v>
      </c>
      <c r="D542" s="13">
        <f t="shared" si="12"/>
        <v>14.114973348389773</v>
      </c>
      <c r="E542" s="61" t="s">
        <v>1931</v>
      </c>
      <c r="F542" s="65">
        <v>564.80965228703758</v>
      </c>
      <c r="G542" s="6">
        <v>1242</v>
      </c>
      <c r="H542" s="6">
        <v>1180</v>
      </c>
      <c r="I542" s="65">
        <v>6.1308896672920055</v>
      </c>
      <c r="J542" s="6">
        <f>VLOOKUP($D542,Sheet1!$A$5:$C$192,3,TRUE)</f>
        <v>3</v>
      </c>
      <c r="K542" s="42" t="str">
        <f>VLOOKUP($D542,Sheet1!$A$5:$C$192,2,TRUE)</f>
        <v>~|(</v>
      </c>
      <c r="L542" s="6">
        <f>FLOOR(VLOOKUP($D542,Sheet1!$D$5:$F$192,3,TRUE),1)</f>
        <v>6</v>
      </c>
      <c r="M542" s="42" t="str">
        <f>VLOOKUP($D542,Sheet1!$D$5:$F$192,2,TRUE)</f>
        <v>~|(</v>
      </c>
      <c r="N542" s="23">
        <f>FLOOR(VLOOKUP($D542,Sheet1!$G$5:$I$192,3,TRUE),1)</f>
        <v>7</v>
      </c>
      <c r="O542" s="42" t="str">
        <f>VLOOKUP($D542,Sheet1!$G$5:$I$192,2,TRUE)</f>
        <v>~|(</v>
      </c>
      <c r="P542" s="23">
        <v>1</v>
      </c>
      <c r="Q542" s="43" t="str">
        <f>VLOOKUP($D542,Sheet1!$J$5:$L$192,2,TRUE)</f>
        <v>~|(.</v>
      </c>
      <c r="R542" s="23">
        <f>FLOOR(VLOOKUP($D542,Sheet1!$M$5:$O$192,3,TRUE),1)</f>
        <v>29</v>
      </c>
      <c r="S542" s="42" t="str">
        <f>VLOOKUP($D542,Sheet1!$M$5:$O$192,2,TRUE)</f>
        <v>~|(.</v>
      </c>
      <c r="T542" s="117">
        <f>IF(ABS(D542-VLOOKUP($D542,Sheet1!$M$5:$T$192,8,TRUE))&lt;10^-10,"SoCA",D542-VLOOKUP($D542,Sheet1!$M$5:$T$192,8,TRUE))</f>
        <v>-0.19272431299978088</v>
      </c>
      <c r="U542" s="109">
        <f>IF(VLOOKUP($D542,Sheet1!$M$5:$U$192,9,TRUE)=0,"",IF(ABS(D542-VLOOKUP($D542,Sheet1!$M$5:$U$192,9,TRUE))&lt;10^-10,"Alt.",D542-VLOOKUP($D542,Sheet1!$M$5:$U$192,9,TRUE)))</f>
        <v>-0.2196846082022148</v>
      </c>
      <c r="V542" s="132">
        <f>$D542-Sheet1!$M$3*$R542</f>
        <v>-3.4662598707418724E-2</v>
      </c>
      <c r="Z542" s="6"/>
      <c r="AA542" s="61"/>
    </row>
    <row r="543" spans="1:27" ht="13.5">
      <c r="A543" t="s">
        <v>1140</v>
      </c>
      <c r="B543">
        <v>2136905728</v>
      </c>
      <c r="C543">
        <v>2154537873</v>
      </c>
      <c r="D543" s="13">
        <f t="shared" si="12"/>
        <v>14.226234521672053</v>
      </c>
      <c r="E543" s="61" t="s">
        <v>1931</v>
      </c>
      <c r="F543" s="65">
        <v>9909824.1996945143</v>
      </c>
      <c r="G543" s="6">
        <v>1047</v>
      </c>
      <c r="H543" s="6">
        <v>989</v>
      </c>
      <c r="I543" s="65">
        <v>4.1240389115064922</v>
      </c>
      <c r="J543" s="6">
        <f>VLOOKUP($D543,Sheet1!$A$5:$C$192,3,TRUE)</f>
        <v>3</v>
      </c>
      <c r="K543" s="42" t="str">
        <f>VLOOKUP($D543,Sheet1!$A$5:$C$192,2,TRUE)</f>
        <v>~|(</v>
      </c>
      <c r="L543" s="6">
        <f>FLOOR(VLOOKUP($D543,Sheet1!$D$5:$F$192,3,TRUE),1)</f>
        <v>6</v>
      </c>
      <c r="M543" s="42" t="str">
        <f>VLOOKUP($D543,Sheet1!$D$5:$F$192,2,TRUE)</f>
        <v>~|(</v>
      </c>
      <c r="N543" s="23">
        <f>FLOOR(VLOOKUP($D543,Sheet1!$G$5:$I$192,3,TRUE),1)</f>
        <v>7</v>
      </c>
      <c r="O543" s="42" t="str">
        <f>VLOOKUP($D543,Sheet1!$G$5:$I$192,2,TRUE)</f>
        <v>~|(</v>
      </c>
      <c r="P543" s="23">
        <v>1</v>
      </c>
      <c r="Q543" s="43" t="str">
        <f>VLOOKUP($D543,Sheet1!$J$5:$L$192,2,TRUE)</f>
        <v>~|(.</v>
      </c>
      <c r="R543" s="23">
        <f>FLOOR(VLOOKUP($D543,Sheet1!$M$5:$O$192,3,TRUE),1)</f>
        <v>29</v>
      </c>
      <c r="S543" s="42" t="str">
        <f>VLOOKUP($D543,Sheet1!$M$5:$O$192,2,TRUE)</f>
        <v>~|(.</v>
      </c>
      <c r="T543" s="117">
        <f>IF(ABS(D543-VLOOKUP($D543,Sheet1!$M$5:$T$192,8,TRUE))&lt;10^-10,"SoCA",D543-VLOOKUP($D543,Sheet1!$M$5:$T$192,8,TRUE))</f>
        <v>-8.1463139717500965E-2</v>
      </c>
      <c r="U543" s="109">
        <f>IF(VLOOKUP($D543,Sheet1!$M$5:$U$192,9,TRUE)=0,"",IF(ABS(D543-VLOOKUP($D543,Sheet1!$M$5:$U$192,9,TRUE))&lt;10^-10,"Alt.",D543-VLOOKUP($D543,Sheet1!$M$5:$U$192,9,TRUE)))</f>
        <v>-0.10842343491993489</v>
      </c>
      <c r="V543" s="132">
        <f>$D543-Sheet1!$M$3*$R543</f>
        <v>7.6598574574861189E-2</v>
      </c>
      <c r="Z543" s="6"/>
      <c r="AA543" s="61"/>
    </row>
    <row r="544" spans="1:27" ht="13.5">
      <c r="A544" s="80" t="s">
        <v>63</v>
      </c>
      <c r="B544" s="80">
        <f>2^12</f>
        <v>4096</v>
      </c>
      <c r="C544" s="80">
        <f>3^5*17</f>
        <v>4131</v>
      </c>
      <c r="D544" s="51">
        <f t="shared" si="12"/>
        <v>14.730413827344378</v>
      </c>
      <c r="E544" s="61">
        <v>17</v>
      </c>
      <c r="F544" s="65">
        <v>20.799045250681814</v>
      </c>
      <c r="G544" s="6">
        <v>20</v>
      </c>
      <c r="H544" s="6">
        <v>20</v>
      </c>
      <c r="I544" s="65">
        <v>4.0929947548310315</v>
      </c>
      <c r="J544" s="81">
        <f>VLOOKUP($D544,Sheet1!$A$5:$C$192,3,TRUE)</f>
        <v>3</v>
      </c>
      <c r="K544" s="82" t="str">
        <f>VLOOKUP($D544,Sheet1!$A$5:$C$192,2,TRUE)</f>
        <v>~|(</v>
      </c>
      <c r="L544" s="81">
        <f>FLOOR(VLOOKUP($D544,Sheet1!$D$5:$F$192,3,TRUE),1)</f>
        <v>6</v>
      </c>
      <c r="M544" s="82" t="str">
        <f>VLOOKUP($D544,Sheet1!$D$5:$F$192,2,TRUE)</f>
        <v>~|(</v>
      </c>
      <c r="N544" s="81">
        <f>FLOOR(VLOOKUP($D544,Sheet1!$G$5:$I$192,3,TRUE),1)</f>
        <v>7</v>
      </c>
      <c r="O544" s="82" t="str">
        <f>VLOOKUP($D544,Sheet1!$G$5:$I$192,2,TRUE)</f>
        <v>~|(</v>
      </c>
      <c r="P544" s="81">
        <v>1</v>
      </c>
      <c r="Q544" s="82" t="str">
        <f>VLOOKUP($D544,Sheet1!$J$5:$L$192,2,TRUE)</f>
        <v>~|(</v>
      </c>
      <c r="R544" s="81">
        <f>FLOOR(VLOOKUP($D544,Sheet1!$M$5:$O$192,3,TRUE),1)</f>
        <v>30</v>
      </c>
      <c r="S544" s="82" t="str">
        <f>VLOOKUP($D544,Sheet1!$M$5:$O$192,2,TRUE)</f>
        <v>~|(</v>
      </c>
      <c r="T544" s="111" t="str">
        <f>IF(ABS(D544-VLOOKUP($D544,Sheet1!$M$5:$T$192,8,TRUE))&lt;10^-10,"SoCA",D544-VLOOKUP($D544,Sheet1!$M$5:$T$192,8,TRUE))</f>
        <v>SoCA</v>
      </c>
      <c r="U544" s="110" t="str">
        <f>IF(VLOOKUP($D544,Sheet1!$M$5:$U$192,9,TRUE)=0,"",IF(ABS(D544-VLOOKUP($D544,Sheet1!$M$5:$U$192,9,TRUE))&lt;10^-10,"Alt.",D544-VLOOKUP($D544,Sheet1!$M$5:$U$192,9,TRUE)))</f>
        <v/>
      </c>
      <c r="V544" s="135">
        <f>$D544-Sheet1!$M$3*$R544</f>
        <v>9.2859399312800406E-2</v>
      </c>
      <c r="Z544" s="6"/>
      <c r="AA544" s="61"/>
    </row>
    <row r="545" spans="1:27" ht="13.5">
      <c r="A545" s="52" t="s">
        <v>264</v>
      </c>
      <c r="B545" s="52">
        <f>3^7*13</f>
        <v>28431</v>
      </c>
      <c r="C545" s="52">
        <f>2^12*7</f>
        <v>28672</v>
      </c>
      <c r="D545" s="13">
        <f t="shared" si="12"/>
        <v>14.613238642102443</v>
      </c>
      <c r="E545" s="61">
        <v>13</v>
      </c>
      <c r="F545" s="65">
        <v>23.131879683502948</v>
      </c>
      <c r="G545" s="6">
        <v>55</v>
      </c>
      <c r="H545" s="6">
        <v>62</v>
      </c>
      <c r="I545" s="65">
        <v>-7.8997903421211806</v>
      </c>
      <c r="J545" s="6">
        <f>VLOOKUP($D545,Sheet1!$A$5:$C$192,3,TRUE)</f>
        <v>3</v>
      </c>
      <c r="K545" s="42" t="str">
        <f>VLOOKUP($D545,Sheet1!$A$5:$C$192,2,TRUE)</f>
        <v>~|(</v>
      </c>
      <c r="L545" s="6">
        <f>FLOOR(VLOOKUP($D545,Sheet1!$D$5:$F$192,3,TRUE),1)</f>
        <v>6</v>
      </c>
      <c r="M545" s="42" t="str">
        <f>VLOOKUP($D545,Sheet1!$D$5:$F$192,2,TRUE)</f>
        <v>~|(</v>
      </c>
      <c r="N545" s="23">
        <f>FLOOR(VLOOKUP($D545,Sheet1!$G$5:$I$192,3,TRUE),1)</f>
        <v>7</v>
      </c>
      <c r="O545" s="42" t="str">
        <f>VLOOKUP($D545,Sheet1!$G$5:$I$192,2,TRUE)</f>
        <v>~|(</v>
      </c>
      <c r="P545" s="23">
        <v>1</v>
      </c>
      <c r="Q545" s="43" t="str">
        <f>VLOOKUP($D545,Sheet1!$J$5:$L$192,2,TRUE)</f>
        <v>~|(</v>
      </c>
      <c r="R545" s="40">
        <f>FLOOR(VLOOKUP($D545,Sheet1!$M$5:$O$192,3,TRUE),1)</f>
        <v>30</v>
      </c>
      <c r="S545" s="46" t="str">
        <f>VLOOKUP($D545,Sheet1!$M$5:$O$192,2,TRUE)</f>
        <v>.|~</v>
      </c>
      <c r="T545" s="115">
        <f>IF(ABS(D545-VLOOKUP($D545,Sheet1!$M$5:$T$192,8,TRUE))&lt;10^-10,"SoCA",D545-VLOOKUP($D545,Sheet1!$M$5:$T$192,8,TRUE))</f>
        <v>2.2617353945799223E-2</v>
      </c>
      <c r="U545" s="115" t="str">
        <f>IF(VLOOKUP($D545,Sheet1!$M$5:$U$192,9,TRUE)=0,"",IF(ABS(D545-VLOOKUP($D545,Sheet1!$M$5:$U$192,9,TRUE))&lt;10^-10,"Alt.",D545-VLOOKUP($D545,Sheet1!$M$5:$U$192,9,TRUE)))</f>
        <v/>
      </c>
      <c r="V545" s="132">
        <f>$D545-Sheet1!$M$3*$R545</f>
        <v>-2.4315785929134748E-2</v>
      </c>
      <c r="Z545" s="6"/>
      <c r="AA545" s="61"/>
    </row>
    <row r="546" spans="1:27" ht="13.5">
      <c r="A546" t="s">
        <v>418</v>
      </c>
      <c r="B546">
        <v>119</v>
      </c>
      <c r="C546">
        <v>120</v>
      </c>
      <c r="D546" s="13">
        <f t="shared" si="12"/>
        <v>14.487398760689965</v>
      </c>
      <c r="E546" s="61">
        <v>17</v>
      </c>
      <c r="F546" s="65">
        <v>34.82919243030252</v>
      </c>
      <c r="G546" s="6">
        <v>294</v>
      </c>
      <c r="H546" s="6">
        <v>256</v>
      </c>
      <c r="I546" s="65">
        <v>0.10795807783703426</v>
      </c>
      <c r="J546" s="6">
        <f>VLOOKUP($D546,Sheet1!$A$5:$C$192,3,TRUE)</f>
        <v>3</v>
      </c>
      <c r="K546" s="42" t="str">
        <f>VLOOKUP($D546,Sheet1!$A$5:$C$192,2,TRUE)</f>
        <v>~|(</v>
      </c>
      <c r="L546" s="6">
        <f>FLOOR(VLOOKUP($D546,Sheet1!$D$5:$F$192,3,TRUE),1)</f>
        <v>6</v>
      </c>
      <c r="M546" s="42" t="str">
        <f>VLOOKUP($D546,Sheet1!$D$5:$F$192,2,TRUE)</f>
        <v>~|(</v>
      </c>
      <c r="N546" s="23">
        <f>FLOOR(VLOOKUP($D546,Sheet1!$G$5:$I$192,3,TRUE),1)</f>
        <v>7</v>
      </c>
      <c r="O546" s="42" t="str">
        <f>VLOOKUP($D546,Sheet1!$G$5:$I$192,2,TRUE)</f>
        <v>~|(</v>
      </c>
      <c r="P546" s="23">
        <v>1</v>
      </c>
      <c r="Q546" s="43" t="str">
        <f>VLOOKUP($D546,Sheet1!$J$5:$L$192,2,TRUE)</f>
        <v>~|(</v>
      </c>
      <c r="R546" s="23">
        <f>FLOOR(VLOOKUP($D546,Sheet1!$M$5:$O$192,3,TRUE),1)</f>
        <v>30</v>
      </c>
      <c r="S546" s="42" t="str">
        <f>VLOOKUP($D546,Sheet1!$M$5:$O$192,2,TRUE)</f>
        <v>.|~</v>
      </c>
      <c r="T546" s="117">
        <f>IF(ABS(D546-VLOOKUP($D546,Sheet1!$M$5:$T$192,8,TRUE))&lt;10^-10,"SoCA",D546-VLOOKUP($D546,Sheet1!$M$5:$T$192,8,TRUE))</f>
        <v>-0.10322252746667893</v>
      </c>
      <c r="U546" s="109" t="str">
        <f>IF(VLOOKUP($D546,Sheet1!$M$5:$U$192,9,TRUE)=0,"",IF(ABS(D546-VLOOKUP($D546,Sheet1!$M$5:$U$192,9,TRUE))&lt;10^-10,"Alt.",D546-VLOOKUP($D546,Sheet1!$M$5:$U$192,9,TRUE)))</f>
        <v/>
      </c>
      <c r="V546" s="132">
        <f>$D546-Sheet1!$M$3*$R546</f>
        <v>-0.1501556673416129</v>
      </c>
      <c r="Z546" s="6"/>
      <c r="AA546" s="61"/>
    </row>
    <row r="547" spans="1:27" ht="13.5">
      <c r="A547" s="6" t="s">
        <v>310</v>
      </c>
      <c r="B547" s="6">
        <f>2^2*29</f>
        <v>116</v>
      </c>
      <c r="C547" s="6">
        <f>3^2*13</f>
        <v>117</v>
      </c>
      <c r="D547" s="13">
        <f t="shared" si="12"/>
        <v>14.860469346998819</v>
      </c>
      <c r="E547" s="61">
        <v>29</v>
      </c>
      <c r="F547" s="65">
        <v>42.063983142640943</v>
      </c>
      <c r="G547" s="6">
        <v>156</v>
      </c>
      <c r="H547" s="6">
        <v>140</v>
      </c>
      <c r="I547" s="65">
        <v>1.0849867626678531</v>
      </c>
      <c r="J547" s="6">
        <f>VLOOKUP($D547,Sheet1!$A$5:$C$192,3,TRUE)</f>
        <v>3</v>
      </c>
      <c r="K547" s="42" t="str">
        <f>VLOOKUP($D547,Sheet1!$A$5:$C$192,2,TRUE)</f>
        <v>~|(</v>
      </c>
      <c r="L547" s="6">
        <f>FLOOR(VLOOKUP($D547,Sheet1!$D$5:$F$192,3,TRUE),1)</f>
        <v>6</v>
      </c>
      <c r="M547" s="42" t="str">
        <f>VLOOKUP($D547,Sheet1!$D$5:$F$192,2,TRUE)</f>
        <v>~|(</v>
      </c>
      <c r="N547" s="23">
        <f>FLOOR(VLOOKUP($D547,Sheet1!$G$5:$I$192,3,TRUE),1)</f>
        <v>7</v>
      </c>
      <c r="O547" s="42" t="str">
        <f>VLOOKUP($D547,Sheet1!$G$5:$I$192,2,TRUE)</f>
        <v>~|(</v>
      </c>
      <c r="P547" s="23">
        <v>1</v>
      </c>
      <c r="Q547" s="43" t="str">
        <f>VLOOKUP($D547,Sheet1!$J$5:$L$192,2,TRUE)</f>
        <v>~|(</v>
      </c>
      <c r="R547" s="23">
        <f>FLOOR(VLOOKUP($D547,Sheet1!$M$5:$O$192,3,TRUE),1)</f>
        <v>30</v>
      </c>
      <c r="S547" s="42" t="str">
        <f>VLOOKUP($D547,Sheet1!$M$5:$O$192,2,TRUE)</f>
        <v>~|(</v>
      </c>
      <c r="T547" s="117">
        <f>IF(ABS(D547-VLOOKUP($D547,Sheet1!$M$5:$T$192,8,TRUE))&lt;10^-10,"SoCA",D547-VLOOKUP($D547,Sheet1!$M$5:$T$192,8,TRUE))</f>
        <v>0.13005551965444084</v>
      </c>
      <c r="U547" s="109" t="str">
        <f>IF(VLOOKUP($D547,Sheet1!$M$5:$U$192,9,TRUE)=0,"",IF(ABS(D547-VLOOKUP($D547,Sheet1!$M$5:$U$192,9,TRUE))&lt;10^-10,"Alt.",D547-VLOOKUP($D547,Sheet1!$M$5:$U$192,9,TRUE)))</f>
        <v/>
      </c>
      <c r="V547" s="132">
        <f>$D547-Sheet1!$M$3*$R547</f>
        <v>0.22291491896724125</v>
      </c>
      <c r="Z547" s="6"/>
      <c r="AA547" s="61"/>
    </row>
    <row r="548" spans="1:27" ht="13.5">
      <c r="A548" t="s">
        <v>661</v>
      </c>
      <c r="B548">
        <v>117</v>
      </c>
      <c r="C548">
        <v>118</v>
      </c>
      <c r="D548" s="13">
        <f t="shared" si="12"/>
        <v>14.733995734124029</v>
      </c>
      <c r="E548" s="61" t="s">
        <v>1931</v>
      </c>
      <c r="F548" s="65">
        <v>72.136737463241758</v>
      </c>
      <c r="G548" s="6">
        <v>551</v>
      </c>
      <c r="H548" s="6">
        <v>506</v>
      </c>
      <c r="I548" s="65">
        <v>-2.907225796218988</v>
      </c>
      <c r="J548" s="6">
        <f>VLOOKUP($D548,Sheet1!$A$5:$C$192,3,TRUE)</f>
        <v>3</v>
      </c>
      <c r="K548" s="42" t="str">
        <f>VLOOKUP($D548,Sheet1!$A$5:$C$192,2,TRUE)</f>
        <v>~|(</v>
      </c>
      <c r="L548" s="6">
        <f>FLOOR(VLOOKUP($D548,Sheet1!$D$5:$F$192,3,TRUE),1)</f>
        <v>6</v>
      </c>
      <c r="M548" s="42" t="str">
        <f>VLOOKUP($D548,Sheet1!$D$5:$F$192,2,TRUE)</f>
        <v>~|(</v>
      </c>
      <c r="N548" s="23">
        <f>FLOOR(VLOOKUP($D548,Sheet1!$G$5:$I$192,3,TRUE),1)</f>
        <v>7</v>
      </c>
      <c r="O548" s="42" t="str">
        <f>VLOOKUP($D548,Sheet1!$G$5:$I$192,2,TRUE)</f>
        <v>~|(</v>
      </c>
      <c r="P548" s="23">
        <v>1</v>
      </c>
      <c r="Q548" s="43" t="str">
        <f>VLOOKUP($D548,Sheet1!$J$5:$L$192,2,TRUE)</f>
        <v>~|(</v>
      </c>
      <c r="R548" s="23">
        <f>FLOOR(VLOOKUP($D548,Sheet1!$M$5:$O$192,3,TRUE),1)</f>
        <v>30</v>
      </c>
      <c r="S548" s="42" t="str">
        <f>VLOOKUP($D548,Sheet1!$M$5:$O$192,2,TRUE)</f>
        <v>~|(</v>
      </c>
      <c r="T548" s="117">
        <f>IF(ABS(D548-VLOOKUP($D548,Sheet1!$M$5:$T$192,8,TRUE))&lt;10^-10,"SoCA",D548-VLOOKUP($D548,Sheet1!$M$5:$T$192,8,TRUE))</f>
        <v>3.5819067796509785E-3</v>
      </c>
      <c r="U548" s="109" t="str">
        <f>IF(VLOOKUP($D548,Sheet1!$M$5:$U$192,9,TRUE)=0,"",IF(ABS(D548-VLOOKUP($D548,Sheet1!$M$5:$U$192,9,TRUE))&lt;10^-10,"Alt.",D548-VLOOKUP($D548,Sheet1!$M$5:$U$192,9,TRUE)))</f>
        <v/>
      </c>
      <c r="V548" s="132">
        <f>$D548-Sheet1!$M$3*$R548</f>
        <v>9.6441306092451384E-2</v>
      </c>
      <c r="Z548" s="6"/>
      <c r="AA548" s="61"/>
    </row>
    <row r="549" spans="1:27" ht="13.5">
      <c r="A549" t="s">
        <v>1213</v>
      </c>
      <c r="B549">
        <v>1539</v>
      </c>
      <c r="C549">
        <v>1552</v>
      </c>
      <c r="D549" s="13">
        <f t="shared" si="12"/>
        <v>14.562391030700857</v>
      </c>
      <c r="E549" s="61" t="s">
        <v>1931</v>
      </c>
      <c r="F549" s="65">
        <v>116.6033612857413</v>
      </c>
      <c r="G549" s="6">
        <v>1119</v>
      </c>
      <c r="H549" s="6">
        <v>1062</v>
      </c>
      <c r="I549" s="65">
        <v>-4.8966594694392507</v>
      </c>
      <c r="J549" s="6">
        <f>VLOOKUP($D549,Sheet1!$A$5:$C$192,3,TRUE)</f>
        <v>3</v>
      </c>
      <c r="K549" s="42" t="str">
        <f>VLOOKUP($D549,Sheet1!$A$5:$C$192,2,TRUE)</f>
        <v>~|(</v>
      </c>
      <c r="L549" s="6">
        <f>FLOOR(VLOOKUP($D549,Sheet1!$D$5:$F$192,3,TRUE),1)</f>
        <v>6</v>
      </c>
      <c r="M549" s="42" t="str">
        <f>VLOOKUP($D549,Sheet1!$D$5:$F$192,2,TRUE)</f>
        <v>~|(</v>
      </c>
      <c r="N549" s="23">
        <f>FLOOR(VLOOKUP($D549,Sheet1!$G$5:$I$192,3,TRUE),1)</f>
        <v>7</v>
      </c>
      <c r="O549" s="42" t="str">
        <f>VLOOKUP($D549,Sheet1!$G$5:$I$192,2,TRUE)</f>
        <v>~|(</v>
      </c>
      <c r="P549" s="23">
        <v>1</v>
      </c>
      <c r="Q549" s="43" t="str">
        <f>VLOOKUP($D549,Sheet1!$J$5:$L$192,2,TRUE)</f>
        <v>~|(</v>
      </c>
      <c r="R549" s="23">
        <f>FLOOR(VLOOKUP($D549,Sheet1!$M$5:$O$192,3,TRUE),1)</f>
        <v>30</v>
      </c>
      <c r="S549" s="42" t="str">
        <f>VLOOKUP($D549,Sheet1!$M$5:$O$192,2,TRUE)</f>
        <v>.|~</v>
      </c>
      <c r="T549" s="117">
        <f>IF(ABS(D549-VLOOKUP($D549,Sheet1!$M$5:$T$192,8,TRUE))&lt;10^-10,"SoCA",D549-VLOOKUP($D549,Sheet1!$M$5:$T$192,8,TRUE))</f>
        <v>-2.8230257455787111E-2</v>
      </c>
      <c r="U549" s="109" t="str">
        <f>IF(VLOOKUP($D549,Sheet1!$M$5:$U$192,9,TRUE)=0,"",IF(ABS(D549-VLOOKUP($D549,Sheet1!$M$5:$U$192,9,TRUE))&lt;10^-10,"Alt.",D549-VLOOKUP($D549,Sheet1!$M$5:$U$192,9,TRUE)))</f>
        <v/>
      </c>
      <c r="V549" s="132">
        <f>$D549-Sheet1!$M$3*$R549</f>
        <v>-7.5163397330721082E-2</v>
      </c>
      <c r="Z549" s="6"/>
      <c r="AA549" s="61"/>
    </row>
    <row r="550" spans="1:27" ht="13.5">
      <c r="A550" t="s">
        <v>1645</v>
      </c>
      <c r="B550">
        <v>4390912</v>
      </c>
      <c r="C550">
        <v>4428675</v>
      </c>
      <c r="D550" s="13">
        <f t="shared" si="12"/>
        <v>14.825408699604315</v>
      </c>
      <c r="E550" s="61" t="s">
        <v>1931</v>
      </c>
      <c r="F550" s="65">
        <v>130.24552365737932</v>
      </c>
      <c r="G550" s="6">
        <v>1264</v>
      </c>
      <c r="H550" s="6">
        <v>1494</v>
      </c>
      <c r="I550" s="65">
        <v>10.087145574460825</v>
      </c>
      <c r="J550" s="6">
        <f>VLOOKUP($D550,Sheet1!$A$5:$C$192,3,TRUE)</f>
        <v>3</v>
      </c>
      <c r="K550" s="42" t="str">
        <f>VLOOKUP($D550,Sheet1!$A$5:$C$192,2,TRUE)</f>
        <v>~|(</v>
      </c>
      <c r="L550" s="6">
        <f>FLOOR(VLOOKUP($D550,Sheet1!$D$5:$F$192,3,TRUE),1)</f>
        <v>6</v>
      </c>
      <c r="M550" s="42" t="str">
        <f>VLOOKUP($D550,Sheet1!$D$5:$F$192,2,TRUE)</f>
        <v>~|(</v>
      </c>
      <c r="N550" s="23">
        <f>FLOOR(VLOOKUP($D550,Sheet1!$G$5:$I$192,3,TRUE),1)</f>
        <v>7</v>
      </c>
      <c r="O550" s="42" t="str">
        <f>VLOOKUP($D550,Sheet1!$G$5:$I$192,2,TRUE)</f>
        <v>~|(</v>
      </c>
      <c r="P550" s="23">
        <v>1</v>
      </c>
      <c r="Q550" s="43" t="str">
        <f>VLOOKUP($D550,Sheet1!$J$5:$L$192,2,TRUE)</f>
        <v>~|(</v>
      </c>
      <c r="R550" s="23">
        <f>FLOOR(VLOOKUP($D550,Sheet1!$M$5:$O$192,3,TRUE),1)</f>
        <v>30</v>
      </c>
      <c r="S550" s="42" t="str">
        <f>VLOOKUP($D550,Sheet1!$M$5:$O$192,2,TRUE)</f>
        <v>~|(</v>
      </c>
      <c r="T550" s="117">
        <f>IF(ABS(D550-VLOOKUP($D550,Sheet1!$M$5:$T$192,8,TRUE))&lt;10^-10,"SoCA",D550-VLOOKUP($D550,Sheet1!$M$5:$T$192,8,TRUE))</f>
        <v>9.4994872259936969E-2</v>
      </c>
      <c r="U550" s="109" t="str">
        <f>IF(VLOOKUP($D550,Sheet1!$M$5:$U$192,9,TRUE)=0,"",IF(ABS(D550-VLOOKUP($D550,Sheet1!$M$5:$U$192,9,TRUE))&lt;10^-10,"Alt.",D550-VLOOKUP($D550,Sheet1!$M$5:$U$192,9,TRUE)))</f>
        <v/>
      </c>
      <c r="V550" s="132">
        <f>$D550-Sheet1!$M$3*$R550</f>
        <v>0.18785427157273737</v>
      </c>
      <c r="Z550" s="6"/>
      <c r="AA550" s="61"/>
    </row>
    <row r="551" spans="1:27" ht="13.5">
      <c r="A551" t="s">
        <v>1741</v>
      </c>
      <c r="B551">
        <v>17039360</v>
      </c>
      <c r="C551">
        <v>17183259</v>
      </c>
      <c r="D551" s="13">
        <f t="shared" si="12"/>
        <v>14.559044509669514</v>
      </c>
      <c r="E551" s="61" t="s">
        <v>1931</v>
      </c>
      <c r="F551" s="65">
        <v>179.41066801580797</v>
      </c>
      <c r="G551" s="6">
        <v>1638</v>
      </c>
      <c r="H551" s="6">
        <v>1590</v>
      </c>
      <c r="I551" s="65">
        <v>10.103546588052689</v>
      </c>
      <c r="J551" s="6">
        <f>VLOOKUP($D551,Sheet1!$A$5:$C$192,3,TRUE)</f>
        <v>3</v>
      </c>
      <c r="K551" s="42" t="str">
        <f>VLOOKUP($D551,Sheet1!$A$5:$C$192,2,TRUE)</f>
        <v>~|(</v>
      </c>
      <c r="L551" s="6">
        <f>FLOOR(VLOOKUP($D551,Sheet1!$D$5:$F$192,3,TRUE),1)</f>
        <v>6</v>
      </c>
      <c r="M551" s="42" t="str">
        <f>VLOOKUP($D551,Sheet1!$D$5:$F$192,2,TRUE)</f>
        <v>~|(</v>
      </c>
      <c r="N551" s="23">
        <f>FLOOR(VLOOKUP($D551,Sheet1!$G$5:$I$192,3,TRUE),1)</f>
        <v>7</v>
      </c>
      <c r="O551" s="42" t="str">
        <f>VLOOKUP($D551,Sheet1!$G$5:$I$192,2,TRUE)</f>
        <v>~|(</v>
      </c>
      <c r="P551" s="23">
        <v>1</v>
      </c>
      <c r="Q551" s="43" t="str">
        <f>VLOOKUP($D551,Sheet1!$J$5:$L$192,2,TRUE)</f>
        <v>~|(</v>
      </c>
      <c r="R551" s="23">
        <f>FLOOR(VLOOKUP($D551,Sheet1!$M$5:$O$192,3,TRUE),1)</f>
        <v>30</v>
      </c>
      <c r="S551" s="42" t="str">
        <f>VLOOKUP($D551,Sheet1!$M$5:$O$192,2,TRUE)</f>
        <v>.|~</v>
      </c>
      <c r="T551" s="117">
        <f>IF(ABS(D551-VLOOKUP($D551,Sheet1!$M$5:$T$192,8,TRUE))&lt;10^-10,"SoCA",D551-VLOOKUP($D551,Sheet1!$M$5:$T$192,8,TRUE))</f>
        <v>-3.1576778487130142E-2</v>
      </c>
      <c r="U551" s="109" t="str">
        <f>IF(VLOOKUP($D551,Sheet1!$M$5:$U$192,9,TRUE)=0,"",IF(ABS(D551-VLOOKUP($D551,Sheet1!$M$5:$U$192,9,TRUE))&lt;10^-10,"Alt.",D551-VLOOKUP($D551,Sheet1!$M$5:$U$192,9,TRUE)))</f>
        <v/>
      </c>
      <c r="V551" s="132">
        <f>$D551-Sheet1!$M$3*$R551</f>
        <v>-7.8509918362064113E-2</v>
      </c>
      <c r="Z551" s="6"/>
      <c r="AA551" s="61"/>
    </row>
    <row r="552" spans="1:27" ht="13.5">
      <c r="A552" t="s">
        <v>1232</v>
      </c>
      <c r="B552">
        <v>51328</v>
      </c>
      <c r="C552">
        <v>51759</v>
      </c>
      <c r="D552" s="13">
        <f t="shared" si="12"/>
        <v>14.476436852038512</v>
      </c>
      <c r="E552" s="61" t="s">
        <v>1931</v>
      </c>
      <c r="F552" s="65">
        <v>473.67632622540179</v>
      </c>
      <c r="G552" s="6">
        <v>1142</v>
      </c>
      <c r="H552" s="6">
        <v>1081</v>
      </c>
      <c r="I552" s="65">
        <v>5.108633042489112</v>
      </c>
      <c r="J552" s="6">
        <f>VLOOKUP($D552,Sheet1!$A$5:$C$192,3,TRUE)</f>
        <v>3</v>
      </c>
      <c r="K552" s="42" t="str">
        <f>VLOOKUP($D552,Sheet1!$A$5:$C$192,2,TRUE)</f>
        <v>~|(</v>
      </c>
      <c r="L552" s="6">
        <f>FLOOR(VLOOKUP($D552,Sheet1!$D$5:$F$192,3,TRUE),1)</f>
        <v>6</v>
      </c>
      <c r="M552" s="42" t="str">
        <f>VLOOKUP($D552,Sheet1!$D$5:$F$192,2,TRUE)</f>
        <v>~|(</v>
      </c>
      <c r="N552" s="23">
        <f>FLOOR(VLOOKUP($D552,Sheet1!$G$5:$I$192,3,TRUE),1)</f>
        <v>7</v>
      </c>
      <c r="O552" s="42" t="str">
        <f>VLOOKUP($D552,Sheet1!$G$5:$I$192,2,TRUE)</f>
        <v>~|(</v>
      </c>
      <c r="P552" s="23">
        <v>1</v>
      </c>
      <c r="Q552" s="43" t="str">
        <f>VLOOKUP($D552,Sheet1!$J$5:$L$192,2,TRUE)</f>
        <v>~|(</v>
      </c>
      <c r="R552" s="23">
        <f>FLOOR(VLOOKUP($D552,Sheet1!$M$5:$O$192,3,TRUE),1)</f>
        <v>30</v>
      </c>
      <c r="S552" s="42" t="str">
        <f>VLOOKUP($D552,Sheet1!$M$5:$O$192,2,TRUE)</f>
        <v>.|~</v>
      </c>
      <c r="T552" s="117">
        <f>IF(ABS(D552-VLOOKUP($D552,Sheet1!$M$5:$T$192,8,TRUE))&lt;10^-10,"SoCA",D552-VLOOKUP($D552,Sheet1!$M$5:$T$192,8,TRUE))</f>
        <v>-0.11418443611813167</v>
      </c>
      <c r="U552" s="109" t="str">
        <f>IF(VLOOKUP($D552,Sheet1!$M$5:$U$192,9,TRUE)=0,"",IF(ABS(D552-VLOOKUP($D552,Sheet1!$M$5:$U$192,9,TRUE))&lt;10^-10,"Alt.",D552-VLOOKUP($D552,Sheet1!$M$5:$U$192,9,TRUE)))</f>
        <v/>
      </c>
      <c r="V552" s="132">
        <f>$D552-Sheet1!$M$3*$R552</f>
        <v>-0.16111757599306564</v>
      </c>
      <c r="Z552" s="6"/>
      <c r="AA552" s="61"/>
    </row>
    <row r="553" spans="1:27" ht="13.5">
      <c r="A553" t="s">
        <v>1426</v>
      </c>
      <c r="B553">
        <v>735232</v>
      </c>
      <c r="C553">
        <v>741393</v>
      </c>
      <c r="D553" s="13">
        <f t="shared" si="12"/>
        <v>14.446721233662801</v>
      </c>
      <c r="E553" s="61" t="s">
        <v>1931</v>
      </c>
      <c r="F553" s="65">
        <v>478.70828549781055</v>
      </c>
      <c r="G553" s="6">
        <v>1344</v>
      </c>
      <c r="H553" s="6">
        <v>1275</v>
      </c>
      <c r="I553" s="65">
        <v>7.1104627413723964</v>
      </c>
      <c r="J553" s="6">
        <f>VLOOKUP($D553,Sheet1!$A$5:$C$192,3,TRUE)</f>
        <v>3</v>
      </c>
      <c r="K553" s="42" t="str">
        <f>VLOOKUP($D553,Sheet1!$A$5:$C$192,2,TRUE)</f>
        <v>~|(</v>
      </c>
      <c r="L553" s="6">
        <f>FLOOR(VLOOKUP($D553,Sheet1!$D$5:$F$192,3,TRUE),1)</f>
        <v>6</v>
      </c>
      <c r="M553" s="42" t="str">
        <f>VLOOKUP($D553,Sheet1!$D$5:$F$192,2,TRUE)</f>
        <v>~|(</v>
      </c>
      <c r="N553" s="23">
        <f>FLOOR(VLOOKUP($D553,Sheet1!$G$5:$I$192,3,TRUE),1)</f>
        <v>7</v>
      </c>
      <c r="O553" s="42" t="str">
        <f>VLOOKUP($D553,Sheet1!$G$5:$I$192,2,TRUE)</f>
        <v>~|(</v>
      </c>
      <c r="P553" s="23">
        <v>1</v>
      </c>
      <c r="Q553" s="43" t="str">
        <f>VLOOKUP($D553,Sheet1!$J$5:$L$192,2,TRUE)</f>
        <v>~|(</v>
      </c>
      <c r="R553" s="23">
        <f>FLOOR(VLOOKUP($D553,Sheet1!$M$5:$O$192,3,TRUE),1)</f>
        <v>30</v>
      </c>
      <c r="S553" s="42" t="str">
        <f>VLOOKUP($D553,Sheet1!$M$5:$O$192,2,TRUE)</f>
        <v>.|~</v>
      </c>
      <c r="T553" s="117">
        <f>IF(ABS(D553-VLOOKUP($D553,Sheet1!$M$5:$T$192,8,TRUE))&lt;10^-10,"SoCA",D553-VLOOKUP($D553,Sheet1!$M$5:$T$192,8,TRUE))</f>
        <v>-0.14390005449384269</v>
      </c>
      <c r="U553" s="109" t="str">
        <f>IF(VLOOKUP($D553,Sheet1!$M$5:$U$192,9,TRUE)=0,"",IF(ABS(D553-VLOOKUP($D553,Sheet1!$M$5:$U$192,9,TRUE))&lt;10^-10,"Alt.",D553-VLOOKUP($D553,Sheet1!$M$5:$U$192,9,TRUE)))</f>
        <v/>
      </c>
      <c r="V553" s="132">
        <f>$D553-Sheet1!$M$3*$R553</f>
        <v>-0.19083319436877666</v>
      </c>
      <c r="Z553" s="6"/>
      <c r="AA553" s="61"/>
    </row>
    <row r="554" spans="1:27" ht="13.5">
      <c r="A554" t="s">
        <v>1212</v>
      </c>
      <c r="B554">
        <v>16588800</v>
      </c>
      <c r="C554">
        <v>16727831</v>
      </c>
      <c r="D554" s="13">
        <f t="shared" si="12"/>
        <v>14.449035873654658</v>
      </c>
      <c r="E554" s="61" t="s">
        <v>1931</v>
      </c>
      <c r="F554" s="65">
        <v>727331.70165961201</v>
      </c>
      <c r="G554" s="6">
        <v>1118</v>
      </c>
      <c r="H554" s="6">
        <v>1061</v>
      </c>
      <c r="I554" s="65">
        <v>-4.8896797794445952</v>
      </c>
      <c r="J554" s="6">
        <f>VLOOKUP($D554,Sheet1!$A$5:$C$192,3,TRUE)</f>
        <v>3</v>
      </c>
      <c r="K554" s="42" t="str">
        <f>VLOOKUP($D554,Sheet1!$A$5:$C$192,2,TRUE)</f>
        <v>~|(</v>
      </c>
      <c r="L554" s="6">
        <f>FLOOR(VLOOKUP($D554,Sheet1!$D$5:$F$192,3,TRUE),1)</f>
        <v>6</v>
      </c>
      <c r="M554" s="42" t="str">
        <f>VLOOKUP($D554,Sheet1!$D$5:$F$192,2,TRUE)</f>
        <v>~|(</v>
      </c>
      <c r="N554" s="23">
        <f>FLOOR(VLOOKUP($D554,Sheet1!$G$5:$I$192,3,TRUE),1)</f>
        <v>7</v>
      </c>
      <c r="O554" s="42" t="str">
        <f>VLOOKUP($D554,Sheet1!$G$5:$I$192,2,TRUE)</f>
        <v>~|(</v>
      </c>
      <c r="P554" s="23">
        <v>1</v>
      </c>
      <c r="Q554" s="43" t="str">
        <f>VLOOKUP($D554,Sheet1!$J$5:$L$192,2,TRUE)</f>
        <v>~|(</v>
      </c>
      <c r="R554" s="23">
        <f>FLOOR(VLOOKUP($D554,Sheet1!$M$5:$O$192,3,TRUE),1)</f>
        <v>30</v>
      </c>
      <c r="S554" s="42" t="str">
        <f>VLOOKUP($D554,Sheet1!$M$5:$O$192,2,TRUE)</f>
        <v>.|~</v>
      </c>
      <c r="T554" s="117">
        <f>IF(ABS(D554-VLOOKUP($D554,Sheet1!$M$5:$T$192,8,TRUE))&lt;10^-10,"SoCA",D554-VLOOKUP($D554,Sheet1!$M$5:$T$192,8,TRUE))</f>
        <v>-0.1415854145019857</v>
      </c>
      <c r="U554" s="109" t="str">
        <f>IF(VLOOKUP($D554,Sheet1!$M$5:$U$192,9,TRUE)=0,"",IF(ABS(D554-VLOOKUP($D554,Sheet1!$M$5:$U$192,9,TRUE))&lt;10^-10,"Alt.",D554-VLOOKUP($D554,Sheet1!$M$5:$U$192,9,TRUE)))</f>
        <v/>
      </c>
      <c r="V554" s="132">
        <f>$D554-Sheet1!$M$3*$R554</f>
        <v>-0.18851855437691967</v>
      </c>
      <c r="Z554" s="6"/>
      <c r="AA554" s="61"/>
    </row>
    <row r="555" spans="1:27" ht="13.5">
      <c r="A555" t="s">
        <v>1527</v>
      </c>
      <c r="B555">
        <v>20364120064</v>
      </c>
      <c r="C555">
        <v>20537458713</v>
      </c>
      <c r="D555" s="13">
        <f t="shared" si="12"/>
        <v>14.673837867183554</v>
      </c>
      <c r="E555" s="61" t="s">
        <v>1931</v>
      </c>
      <c r="F555" s="65">
        <v>6015153.8767371252</v>
      </c>
      <c r="G555" s="6">
        <v>1433</v>
      </c>
      <c r="H555" s="6">
        <v>1376</v>
      </c>
      <c r="I555" s="65">
        <v>8.096478342815578</v>
      </c>
      <c r="J555" s="6">
        <f>VLOOKUP($D555,Sheet1!$A$5:$C$192,3,TRUE)</f>
        <v>3</v>
      </c>
      <c r="K555" s="42" t="str">
        <f>VLOOKUP($D555,Sheet1!$A$5:$C$192,2,TRUE)</f>
        <v>~|(</v>
      </c>
      <c r="L555" s="6">
        <f>FLOOR(VLOOKUP($D555,Sheet1!$D$5:$F$192,3,TRUE),1)</f>
        <v>6</v>
      </c>
      <c r="M555" s="42" t="str">
        <f>VLOOKUP($D555,Sheet1!$D$5:$F$192,2,TRUE)</f>
        <v>~|(</v>
      </c>
      <c r="N555" s="23">
        <f>FLOOR(VLOOKUP($D555,Sheet1!$G$5:$I$192,3,TRUE),1)</f>
        <v>7</v>
      </c>
      <c r="O555" s="42" t="str">
        <f>VLOOKUP($D555,Sheet1!$G$5:$I$192,2,TRUE)</f>
        <v>~|(</v>
      </c>
      <c r="P555" s="23">
        <v>1</v>
      </c>
      <c r="Q555" s="43" t="str">
        <f>VLOOKUP($D555,Sheet1!$J$5:$L$192,2,TRUE)</f>
        <v>~|(</v>
      </c>
      <c r="R555" s="23">
        <f>FLOOR(VLOOKUP($D555,Sheet1!$M$5:$O$192,3,TRUE),1)</f>
        <v>30</v>
      </c>
      <c r="S555" s="42" t="str">
        <f>VLOOKUP($D555,Sheet1!$M$5:$O$192,2,TRUE)</f>
        <v>~|(</v>
      </c>
      <c r="T555" s="117">
        <f>IF(ABS(D555-VLOOKUP($D555,Sheet1!$M$5:$T$192,8,TRUE))&lt;10^-10,"SoCA",D555-VLOOKUP($D555,Sheet1!$M$5:$T$192,8,TRUE))</f>
        <v>-5.6575960160824224E-2</v>
      </c>
      <c r="U555" s="109" t="str">
        <f>IF(VLOOKUP($D555,Sheet1!$M$5:$U$192,9,TRUE)=0,"",IF(ABS(D555-VLOOKUP($D555,Sheet1!$M$5:$U$192,9,TRUE))&lt;10^-10,"Alt.",D555-VLOOKUP($D555,Sheet1!$M$5:$U$192,9,TRUE)))</f>
        <v/>
      </c>
      <c r="V555" s="132">
        <f>$D555-Sheet1!$M$3*$R555</f>
        <v>3.6283439151976182E-2</v>
      </c>
      <c r="Z555" s="6"/>
      <c r="AA555" s="61"/>
    </row>
    <row r="556" spans="1:27" ht="13.5">
      <c r="A556" s="38" t="s">
        <v>65</v>
      </c>
      <c r="B556" s="38">
        <f>3^4*7</f>
        <v>567</v>
      </c>
      <c r="C556" s="38">
        <f>2^2*11*13</f>
        <v>572</v>
      </c>
      <c r="D556" s="13">
        <f t="shared" si="12"/>
        <v>15.199694203392605</v>
      </c>
      <c r="E556" s="61">
        <v>13</v>
      </c>
      <c r="F556" s="65">
        <v>37.650145137983159</v>
      </c>
      <c r="G556" s="6">
        <v>240</v>
      </c>
      <c r="H556" s="6">
        <v>229</v>
      </c>
      <c r="I556" s="65">
        <v>-4.9359005476037501</v>
      </c>
      <c r="J556" s="6">
        <f>VLOOKUP($D556,Sheet1!$A$5:$C$192,3,TRUE)</f>
        <v>3</v>
      </c>
      <c r="K556" s="42" t="str">
        <f>VLOOKUP($D556,Sheet1!$A$5:$C$192,2,TRUE)</f>
        <v>~|(</v>
      </c>
      <c r="L556" s="6">
        <f>FLOOR(VLOOKUP($D556,Sheet1!$D$5:$F$192,3,TRUE),1)</f>
        <v>6</v>
      </c>
      <c r="M556" s="42" t="str">
        <f>VLOOKUP($D556,Sheet1!$D$5:$F$192,2,TRUE)</f>
        <v>~|(</v>
      </c>
      <c r="N556" s="23">
        <f>FLOOR(VLOOKUP($D556,Sheet1!$G$5:$I$192,3,TRUE),1)</f>
        <v>7</v>
      </c>
      <c r="O556" s="42" t="str">
        <f>VLOOKUP($D556,Sheet1!$G$5:$I$192,2,TRUE)</f>
        <v>~|(</v>
      </c>
      <c r="P556" s="23">
        <v>1</v>
      </c>
      <c r="Q556" s="45" t="str">
        <f>VLOOKUP($D556,Sheet1!$J$5:$L$192,2,TRUE)</f>
        <v>~|('</v>
      </c>
      <c r="R556" s="38">
        <f>FLOOR(VLOOKUP($D556,Sheet1!$M$5:$O$192,3,TRUE),1)</f>
        <v>31</v>
      </c>
      <c r="S556" s="45" t="str">
        <f>VLOOKUP($D556,Sheet1!$M$5:$O$192,2,TRUE)</f>
        <v>~|('</v>
      </c>
      <c r="T556" s="108">
        <f>IF(ABS(D556-VLOOKUP($D556,Sheet1!$M$5:$T$192,8,TRUE))&lt;10^-10,"SoCA",D556-VLOOKUP($D556,Sheet1!$M$5:$T$192,8,TRUE))</f>
        <v>4.6564210093402281E-2</v>
      </c>
      <c r="U556" s="108">
        <f>IF(VLOOKUP($D556,Sheet1!$M$5:$U$192,9,TRUE)=0,"",IF(ABS(D556-VLOOKUP($D556,Sheet1!$M$5:$U$192,9,TRUE))&lt;10^-10,"Alt.",D556-VLOOKUP($D556,Sheet1!$M$5:$U$192,9,TRUE)))</f>
        <v>7.3524505295836207E-2</v>
      </c>
      <c r="V556" s="133">
        <f>$D556-Sheet1!$M$3*$R556</f>
        <v>7.4221294426640938E-2</v>
      </c>
      <c r="Z556" s="6"/>
      <c r="AA556" s="61"/>
    </row>
    <row r="557" spans="1:27" ht="13.5">
      <c r="A557" t="s">
        <v>451</v>
      </c>
      <c r="B557">
        <v>1472</v>
      </c>
      <c r="C557">
        <v>1485</v>
      </c>
      <c r="D557" s="13">
        <f t="shared" si="12"/>
        <v>15.222311557338234</v>
      </c>
      <c r="E557" s="61">
        <v>23</v>
      </c>
      <c r="F557" s="65">
        <v>46.924911363686029</v>
      </c>
      <c r="G557" s="6">
        <v>329</v>
      </c>
      <c r="H557" s="6">
        <v>289</v>
      </c>
      <c r="I557" s="65">
        <v>2.062706819514311</v>
      </c>
      <c r="J557" s="6">
        <f>VLOOKUP($D557,Sheet1!$A$5:$C$192,3,TRUE)</f>
        <v>3</v>
      </c>
      <c r="K557" s="42" t="str">
        <f>VLOOKUP($D557,Sheet1!$A$5:$C$192,2,TRUE)</f>
        <v>~|(</v>
      </c>
      <c r="L557" s="6">
        <f>FLOOR(VLOOKUP($D557,Sheet1!$D$5:$F$192,3,TRUE),1)</f>
        <v>6</v>
      </c>
      <c r="M557" s="42" t="str">
        <f>VLOOKUP($D557,Sheet1!$D$5:$F$192,2,TRUE)</f>
        <v>~|(</v>
      </c>
      <c r="N557" s="23">
        <f>FLOOR(VLOOKUP($D557,Sheet1!$G$5:$I$192,3,TRUE),1)</f>
        <v>7</v>
      </c>
      <c r="O557" s="42" t="str">
        <f>VLOOKUP($D557,Sheet1!$G$5:$I$192,2,TRUE)</f>
        <v>~|(</v>
      </c>
      <c r="P557" s="23">
        <v>1</v>
      </c>
      <c r="Q557" s="43" t="str">
        <f>VLOOKUP($D557,Sheet1!$J$5:$L$192,2,TRUE)</f>
        <v>~|('</v>
      </c>
      <c r="R557" s="23">
        <f>FLOOR(VLOOKUP($D557,Sheet1!$M$5:$O$192,3,TRUE),1)</f>
        <v>31</v>
      </c>
      <c r="S557" s="42" t="str">
        <f>VLOOKUP($D557,Sheet1!$M$5:$O$192,2,TRUE)</f>
        <v>~|('</v>
      </c>
      <c r="T557" s="117">
        <f>IF(ABS(D557-VLOOKUP($D557,Sheet1!$M$5:$T$192,8,TRUE))&lt;10^-10,"SoCA",D557-VLOOKUP($D557,Sheet1!$M$5:$T$192,8,TRUE))</f>
        <v>6.9181564039030974E-2</v>
      </c>
      <c r="U557" s="109">
        <f>IF(VLOOKUP($D557,Sheet1!$M$5:$U$192,9,TRUE)=0,"",IF(ABS(D557-VLOOKUP($D557,Sheet1!$M$5:$U$192,9,TRUE))&lt;10^-10,"Alt.",D557-VLOOKUP($D557,Sheet1!$M$5:$U$192,9,TRUE)))</f>
        <v>9.61418592414649E-2</v>
      </c>
      <c r="V557" s="132">
        <f>$D557-Sheet1!$M$3*$R557</f>
        <v>9.6838648372269631E-2</v>
      </c>
      <c r="Z557" s="6"/>
      <c r="AA557" s="61"/>
    </row>
    <row r="558" spans="1:27" ht="13.5">
      <c r="A558" s="21" t="s">
        <v>385</v>
      </c>
      <c r="B558" s="21">
        <f>3^3*47</f>
        <v>1269</v>
      </c>
      <c r="C558" s="21">
        <f>2^8*5</f>
        <v>1280</v>
      </c>
      <c r="D558" s="13">
        <f t="shared" si="12"/>
        <v>14.942089255507547</v>
      </c>
      <c r="E558" s="61">
        <v>47</v>
      </c>
      <c r="F558" s="65">
        <v>52.254929785748558</v>
      </c>
      <c r="G558" s="6">
        <v>235</v>
      </c>
      <c r="H558" s="6">
        <v>220</v>
      </c>
      <c r="I558" s="65">
        <v>-3.9200388724565456</v>
      </c>
      <c r="J558" s="6">
        <f>VLOOKUP($D558,Sheet1!$A$5:$C$192,3,TRUE)</f>
        <v>3</v>
      </c>
      <c r="K558" s="42" t="str">
        <f>VLOOKUP($D558,Sheet1!$A$5:$C$192,2,TRUE)</f>
        <v>~|(</v>
      </c>
      <c r="L558" s="6">
        <f>FLOOR(VLOOKUP($D558,Sheet1!$D$5:$F$192,3,TRUE),1)</f>
        <v>6</v>
      </c>
      <c r="M558" s="42" t="str">
        <f>VLOOKUP($D558,Sheet1!$D$5:$F$192,2,TRUE)</f>
        <v>~|(</v>
      </c>
      <c r="N558" s="23">
        <f>FLOOR(VLOOKUP($D558,Sheet1!$G$5:$I$192,3,TRUE),1)</f>
        <v>7</v>
      </c>
      <c r="O558" s="42" t="str">
        <f>VLOOKUP($D558,Sheet1!$G$5:$I$192,2,TRUE)</f>
        <v>~|(</v>
      </c>
      <c r="P558" s="23">
        <v>1</v>
      </c>
      <c r="Q558" s="43" t="str">
        <f>VLOOKUP($D558,Sheet1!$J$5:$L$192,2,TRUE)</f>
        <v>~|('</v>
      </c>
      <c r="R558" s="23">
        <f>FLOOR(VLOOKUP($D558,Sheet1!$M$5:$O$192,3,TRUE),1)</f>
        <v>31</v>
      </c>
      <c r="S558" s="43" t="str">
        <f>VLOOKUP($D558,Sheet1!$M$5:$O$192,2,TRUE)</f>
        <v>~|('</v>
      </c>
      <c r="T558" s="117">
        <f>IF(ABS(D558-VLOOKUP($D558,Sheet1!$M$5:$T$192,8,TRUE))&lt;10^-10,"SoCA",D558-VLOOKUP($D558,Sheet1!$M$5:$T$192,8,TRUE))</f>
        <v>-0.21104073779165589</v>
      </c>
      <c r="U558" s="109">
        <f>IF(VLOOKUP($D558,Sheet1!$M$5:$U$192,9,TRUE)=0,"",IF(ABS(D558-VLOOKUP($D558,Sheet1!$M$5:$U$192,9,TRUE))&lt;10^-10,"Alt.",D558-VLOOKUP($D558,Sheet1!$M$5:$U$192,9,TRUE)))</f>
        <v>-0.18408044258922196</v>
      </c>
      <c r="V558" s="132">
        <f>$D558-Sheet1!$M$3*$R558</f>
        <v>-0.18338365345841723</v>
      </c>
      <c r="Z558" s="6"/>
      <c r="AA558" s="61"/>
    </row>
    <row r="559" spans="1:27" ht="13.5">
      <c r="A559" s="23" t="s">
        <v>455</v>
      </c>
      <c r="B559" s="23">
        <f>2^9*7^3</f>
        <v>175616</v>
      </c>
      <c r="C559" s="23">
        <f>3^11</f>
        <v>177147</v>
      </c>
      <c r="D559" s="13">
        <f t="shared" si="12"/>
        <v>15.02729011188689</v>
      </c>
      <c r="E559" s="61">
        <v>7</v>
      </c>
      <c r="F559" s="65">
        <v>60.676938668804453</v>
      </c>
      <c r="G559" s="6">
        <v>148</v>
      </c>
      <c r="H559" s="6">
        <v>293</v>
      </c>
      <c r="I559" s="65">
        <v>10.074715000412558</v>
      </c>
      <c r="J559" s="6">
        <f>VLOOKUP($D559,Sheet1!$A$5:$C$192,3,TRUE)</f>
        <v>3</v>
      </c>
      <c r="K559" s="42" t="str">
        <f>VLOOKUP($D559,Sheet1!$A$5:$C$192,2,TRUE)</f>
        <v>~|(</v>
      </c>
      <c r="L559" s="6">
        <f>FLOOR(VLOOKUP($D559,Sheet1!$D$5:$F$192,3,TRUE),1)</f>
        <v>6</v>
      </c>
      <c r="M559" s="42" t="str">
        <f>VLOOKUP($D559,Sheet1!$D$5:$F$192,2,TRUE)</f>
        <v>~|(</v>
      </c>
      <c r="N559" s="23">
        <f>FLOOR(VLOOKUP($D559,Sheet1!$G$5:$I$192,3,TRUE),1)</f>
        <v>7</v>
      </c>
      <c r="O559" s="42" t="str">
        <f>VLOOKUP($D559,Sheet1!$G$5:$I$192,2,TRUE)</f>
        <v>~|(</v>
      </c>
      <c r="P559" s="23">
        <v>1</v>
      </c>
      <c r="Q559" s="43" t="str">
        <f>VLOOKUP($D559,Sheet1!$J$5:$L$192,2,TRUE)</f>
        <v>~|('</v>
      </c>
      <c r="R559" s="23">
        <f>FLOOR(VLOOKUP($D559,Sheet1!$M$5:$O$192,3,TRUE),1)</f>
        <v>31</v>
      </c>
      <c r="S559" s="43" t="str">
        <f>VLOOKUP($D559,Sheet1!$M$5:$O$192,2,TRUE)</f>
        <v>~|('</v>
      </c>
      <c r="T559" s="117">
        <f>IF(ABS(D559-VLOOKUP($D559,Sheet1!$M$5:$T$192,8,TRUE))&lt;10^-10,"SoCA",D559-VLOOKUP($D559,Sheet1!$M$5:$T$192,8,TRUE))</f>
        <v>-0.12583988141231295</v>
      </c>
      <c r="U559" s="117">
        <f>IF(VLOOKUP($D559,Sheet1!$M$5:$U$192,9,TRUE)=0,"",IF(ABS(D559-VLOOKUP($D559,Sheet1!$M$5:$U$192,9,TRUE))&lt;10^-10,"Alt.",D559-VLOOKUP($D559,Sheet1!$M$5:$U$192,9,TRUE)))</f>
        <v>-9.8879586209879022E-2</v>
      </c>
      <c r="V559" s="132">
        <f>$D559-Sheet1!$M$3*$R559</f>
        <v>-9.8182797079074291E-2</v>
      </c>
      <c r="Z559" s="6"/>
      <c r="AA559" s="61"/>
    </row>
    <row r="560" spans="1:27" ht="13.5">
      <c r="A560" t="s">
        <v>1724</v>
      </c>
      <c r="B560">
        <v>16632135</v>
      </c>
      <c r="C560">
        <v>16777216</v>
      </c>
      <c r="D560" s="13">
        <f t="shared" si="12"/>
        <v>15.035954808057168</v>
      </c>
      <c r="E560" s="61">
        <v>13</v>
      </c>
      <c r="F560" s="65">
        <v>63.938766402959459</v>
      </c>
      <c r="G560" s="6">
        <v>1633</v>
      </c>
      <c r="H560" s="6">
        <v>1573</v>
      </c>
      <c r="I560" s="65">
        <v>-9.9258185164978521</v>
      </c>
      <c r="J560" s="6">
        <f>VLOOKUP($D560,Sheet1!$A$5:$C$192,3,TRUE)</f>
        <v>3</v>
      </c>
      <c r="K560" s="42" t="str">
        <f>VLOOKUP($D560,Sheet1!$A$5:$C$192,2,TRUE)</f>
        <v>~|(</v>
      </c>
      <c r="L560" s="6">
        <f>FLOOR(VLOOKUP($D560,Sheet1!$D$5:$F$192,3,TRUE),1)</f>
        <v>6</v>
      </c>
      <c r="M560" s="42" t="str">
        <f>VLOOKUP($D560,Sheet1!$D$5:$F$192,2,TRUE)</f>
        <v>~|(</v>
      </c>
      <c r="N560" s="23">
        <f>FLOOR(VLOOKUP($D560,Sheet1!$G$5:$I$192,3,TRUE),1)</f>
        <v>7</v>
      </c>
      <c r="O560" s="42" t="str">
        <f>VLOOKUP($D560,Sheet1!$G$5:$I$192,2,TRUE)</f>
        <v>~|(</v>
      </c>
      <c r="P560" s="23">
        <v>1</v>
      </c>
      <c r="Q560" s="43" t="str">
        <f>VLOOKUP($D560,Sheet1!$J$5:$L$192,2,TRUE)</f>
        <v>~|('</v>
      </c>
      <c r="R560" s="23">
        <f>FLOOR(VLOOKUP($D560,Sheet1!$M$5:$O$192,3,TRUE),1)</f>
        <v>31</v>
      </c>
      <c r="S560" s="42" t="str">
        <f>VLOOKUP($D560,Sheet1!$M$5:$O$192,2,TRUE)</f>
        <v>~|('</v>
      </c>
      <c r="T560" s="117">
        <f>IF(ABS(D560-VLOOKUP($D560,Sheet1!$M$5:$T$192,8,TRUE))&lt;10^-10,"SoCA",D560-VLOOKUP($D560,Sheet1!$M$5:$T$192,8,TRUE))</f>
        <v>-0.11717518524203463</v>
      </c>
      <c r="U560" s="109">
        <f>IF(VLOOKUP($D560,Sheet1!$M$5:$U$192,9,TRUE)=0,"",IF(ABS(D560-VLOOKUP($D560,Sheet1!$M$5:$U$192,9,TRUE))&lt;10^-10,"Alt.",D560-VLOOKUP($D560,Sheet1!$M$5:$U$192,9,TRUE)))</f>
        <v>-9.0214890039600704E-2</v>
      </c>
      <c r="V560" s="132">
        <f>$D560-Sheet1!$M$3*$R560</f>
        <v>-8.9518100908795972E-2</v>
      </c>
      <c r="Z560" s="6"/>
      <c r="AA560" s="61"/>
    </row>
    <row r="561" spans="1:27" ht="13.5">
      <c r="A561" t="s">
        <v>1737</v>
      </c>
      <c r="B561">
        <v>36700160</v>
      </c>
      <c r="C561">
        <v>37023723</v>
      </c>
      <c r="D561" s="13">
        <f t="shared" si="12"/>
        <v>15.196347682361061</v>
      </c>
      <c r="E561" s="61">
        <v>19</v>
      </c>
      <c r="F561" s="65">
        <v>74.59778641662092</v>
      </c>
      <c r="G561" s="6">
        <v>1635</v>
      </c>
      <c r="H561" s="6">
        <v>1586</v>
      </c>
      <c r="I561" s="65">
        <v>10.064305509888202</v>
      </c>
      <c r="J561" s="6">
        <f>VLOOKUP($D561,Sheet1!$A$5:$C$192,3,TRUE)</f>
        <v>3</v>
      </c>
      <c r="K561" s="42" t="str">
        <f>VLOOKUP($D561,Sheet1!$A$5:$C$192,2,TRUE)</f>
        <v>~|(</v>
      </c>
      <c r="L561" s="6">
        <f>FLOOR(VLOOKUP($D561,Sheet1!$D$5:$F$192,3,TRUE),1)</f>
        <v>6</v>
      </c>
      <c r="M561" s="42" t="str">
        <f>VLOOKUP($D561,Sheet1!$D$5:$F$192,2,TRUE)</f>
        <v>~|(</v>
      </c>
      <c r="N561" s="23">
        <f>FLOOR(VLOOKUP($D561,Sheet1!$G$5:$I$192,3,TRUE),1)</f>
        <v>7</v>
      </c>
      <c r="O561" s="42" t="str">
        <f>VLOOKUP($D561,Sheet1!$G$5:$I$192,2,TRUE)</f>
        <v>~|(</v>
      </c>
      <c r="P561" s="23">
        <v>1</v>
      </c>
      <c r="Q561" s="43" t="str">
        <f>VLOOKUP($D561,Sheet1!$J$5:$L$192,2,TRUE)</f>
        <v>~|('</v>
      </c>
      <c r="R561" s="23">
        <f>FLOOR(VLOOKUP($D561,Sheet1!$M$5:$O$192,3,TRUE),1)</f>
        <v>31</v>
      </c>
      <c r="S561" s="42" t="str">
        <f>VLOOKUP($D561,Sheet1!$M$5:$O$192,2,TRUE)</f>
        <v>~|('</v>
      </c>
      <c r="T561" s="117">
        <f>IF(ABS(D561-VLOOKUP($D561,Sheet1!$M$5:$T$192,8,TRUE))&lt;10^-10,"SoCA",D561-VLOOKUP($D561,Sheet1!$M$5:$T$192,8,TRUE))</f>
        <v>4.3217689061858522E-2</v>
      </c>
      <c r="U561" s="109">
        <f>IF(VLOOKUP($D561,Sheet1!$M$5:$U$192,9,TRUE)=0,"",IF(ABS(D561-VLOOKUP($D561,Sheet1!$M$5:$U$192,9,TRUE))&lt;10^-10,"Alt.",D561-VLOOKUP($D561,Sheet1!$M$5:$U$192,9,TRUE)))</f>
        <v>7.0177984264292448E-2</v>
      </c>
      <c r="V561" s="132">
        <f>$D561-Sheet1!$M$3*$R561</f>
        <v>7.0874773395097179E-2</v>
      </c>
      <c r="Z561" s="6"/>
      <c r="AA561" s="61"/>
    </row>
    <row r="562" spans="1:27" ht="13.5">
      <c r="A562" t="s">
        <v>816</v>
      </c>
      <c r="B562">
        <v>3553</v>
      </c>
      <c r="C562">
        <v>3584</v>
      </c>
      <c r="D562" s="13">
        <f t="shared" si="12"/>
        <v>15.039538471658339</v>
      </c>
      <c r="E562" s="61">
        <v>19</v>
      </c>
      <c r="F562" s="65">
        <v>75.632244430153008</v>
      </c>
      <c r="G562" s="6">
        <v>749</v>
      </c>
      <c r="H562" s="6">
        <v>663</v>
      </c>
      <c r="I562" s="65">
        <v>-0.92603917572177341</v>
      </c>
      <c r="J562" s="6">
        <f>VLOOKUP($D562,Sheet1!$A$5:$C$192,3,TRUE)</f>
        <v>3</v>
      </c>
      <c r="K562" s="42" t="str">
        <f>VLOOKUP($D562,Sheet1!$A$5:$C$192,2,TRUE)</f>
        <v>~|(</v>
      </c>
      <c r="L562" s="6">
        <f>FLOOR(VLOOKUP($D562,Sheet1!$D$5:$F$192,3,TRUE),1)</f>
        <v>6</v>
      </c>
      <c r="M562" s="42" t="str">
        <f>VLOOKUP($D562,Sheet1!$D$5:$F$192,2,TRUE)</f>
        <v>~|(</v>
      </c>
      <c r="N562" s="23">
        <f>FLOOR(VLOOKUP($D562,Sheet1!$G$5:$I$192,3,TRUE),1)</f>
        <v>7</v>
      </c>
      <c r="O562" s="42" t="str">
        <f>VLOOKUP($D562,Sheet1!$G$5:$I$192,2,TRUE)</f>
        <v>~|(</v>
      </c>
      <c r="P562" s="23">
        <v>1</v>
      </c>
      <c r="Q562" s="43" t="str">
        <f>VLOOKUP($D562,Sheet1!$J$5:$L$192,2,TRUE)</f>
        <v>~|('</v>
      </c>
      <c r="R562" s="23">
        <f>FLOOR(VLOOKUP($D562,Sheet1!$M$5:$O$192,3,TRUE),1)</f>
        <v>31</v>
      </c>
      <c r="S562" s="42" t="str">
        <f>VLOOKUP($D562,Sheet1!$M$5:$O$192,2,TRUE)</f>
        <v>~|('</v>
      </c>
      <c r="T562" s="117">
        <f>IF(ABS(D562-VLOOKUP($D562,Sheet1!$M$5:$T$192,8,TRUE))&lt;10^-10,"SoCA",D562-VLOOKUP($D562,Sheet1!$M$5:$T$192,8,TRUE))</f>
        <v>-0.11359152164086339</v>
      </c>
      <c r="U562" s="109">
        <f>IF(VLOOKUP($D562,Sheet1!$M$5:$U$192,9,TRUE)=0,"",IF(ABS(D562-VLOOKUP($D562,Sheet1!$M$5:$U$192,9,TRUE))&lt;10^-10,"Alt.",D562-VLOOKUP($D562,Sheet1!$M$5:$U$192,9,TRUE)))</f>
        <v>-8.6631226438429465E-2</v>
      </c>
      <c r="V562" s="132">
        <f>$D562-Sheet1!$M$3*$R562</f>
        <v>-8.5934437307624734E-2</v>
      </c>
      <c r="Z562" s="6"/>
      <c r="AA562" s="61"/>
    </row>
    <row r="563" spans="1:27" ht="13.5">
      <c r="A563" t="s">
        <v>1406</v>
      </c>
      <c r="B563">
        <v>40095</v>
      </c>
      <c r="C563">
        <v>40448</v>
      </c>
      <c r="D563" s="13">
        <f t="shared" si="12"/>
        <v>15.175236390607397</v>
      </c>
      <c r="E563" s="61" t="s">
        <v>1931</v>
      </c>
      <c r="F563" s="65">
        <v>116.35420393452534</v>
      </c>
      <c r="G563" s="6">
        <v>1320</v>
      </c>
      <c r="H563" s="6">
        <v>1255</v>
      </c>
      <c r="I563" s="65">
        <v>-6.9343945909659013</v>
      </c>
      <c r="J563" s="6">
        <f>VLOOKUP($D563,Sheet1!$A$5:$C$192,3,TRUE)</f>
        <v>3</v>
      </c>
      <c r="K563" s="42" t="str">
        <f>VLOOKUP($D563,Sheet1!$A$5:$C$192,2,TRUE)</f>
        <v>~|(</v>
      </c>
      <c r="L563" s="6">
        <f>FLOOR(VLOOKUP($D563,Sheet1!$D$5:$F$192,3,TRUE),1)</f>
        <v>6</v>
      </c>
      <c r="M563" s="42" t="str">
        <f>VLOOKUP($D563,Sheet1!$D$5:$F$192,2,TRUE)</f>
        <v>~|(</v>
      </c>
      <c r="N563" s="23">
        <f>FLOOR(VLOOKUP($D563,Sheet1!$G$5:$I$192,3,TRUE),1)</f>
        <v>7</v>
      </c>
      <c r="O563" s="42" t="str">
        <f>VLOOKUP($D563,Sheet1!$G$5:$I$192,2,TRUE)</f>
        <v>~|(</v>
      </c>
      <c r="P563" s="23">
        <v>1</v>
      </c>
      <c r="Q563" s="43" t="str">
        <f>VLOOKUP($D563,Sheet1!$J$5:$L$192,2,TRUE)</f>
        <v>~|('</v>
      </c>
      <c r="R563" s="23">
        <f>FLOOR(VLOOKUP($D563,Sheet1!$M$5:$O$192,3,TRUE),1)</f>
        <v>31</v>
      </c>
      <c r="S563" s="42" t="str">
        <f>VLOOKUP($D563,Sheet1!$M$5:$O$192,2,TRUE)</f>
        <v>~|('</v>
      </c>
      <c r="T563" s="117">
        <f>IF(ABS(D563-VLOOKUP($D563,Sheet1!$M$5:$T$192,8,TRUE))&lt;10^-10,"SoCA",D563-VLOOKUP($D563,Sheet1!$M$5:$T$192,8,TRUE))</f>
        <v>2.2106397308194303E-2</v>
      </c>
      <c r="U563" s="109">
        <f>IF(VLOOKUP($D563,Sheet1!$M$5:$U$192,9,TRUE)=0,"",IF(ABS(D563-VLOOKUP($D563,Sheet1!$M$5:$U$192,9,TRUE))&lt;10^-10,"Alt.",D563-VLOOKUP($D563,Sheet1!$M$5:$U$192,9,TRUE)))</f>
        <v>4.9066692510628229E-2</v>
      </c>
      <c r="V563" s="132">
        <f>$D563-Sheet1!$M$3*$R563</f>
        <v>4.9763481641432961E-2</v>
      </c>
      <c r="Z563" s="6"/>
      <c r="AA563" s="61"/>
    </row>
    <row r="564" spans="1:27" ht="13.5">
      <c r="A564" t="s">
        <v>1417</v>
      </c>
      <c r="B564">
        <v>851968</v>
      </c>
      <c r="C564">
        <v>859491</v>
      </c>
      <c r="D564" s="13">
        <f t="shared" si="12"/>
        <v>15.219946998729203</v>
      </c>
      <c r="E564" s="61" t="s">
        <v>1931</v>
      </c>
      <c r="F564" s="65">
        <v>149.36437169261009</v>
      </c>
      <c r="G564" s="6">
        <v>1334</v>
      </c>
      <c r="H564" s="6">
        <v>1266</v>
      </c>
      <c r="I564" s="65">
        <v>7.0628524140024247</v>
      </c>
      <c r="J564" s="6">
        <f>VLOOKUP($D564,Sheet1!$A$5:$C$192,3,TRUE)</f>
        <v>3</v>
      </c>
      <c r="K564" s="42" t="str">
        <f>VLOOKUP($D564,Sheet1!$A$5:$C$192,2,TRUE)</f>
        <v>~|(</v>
      </c>
      <c r="L564" s="6">
        <f>FLOOR(VLOOKUP($D564,Sheet1!$D$5:$F$192,3,TRUE),1)</f>
        <v>6</v>
      </c>
      <c r="M564" s="42" t="str">
        <f>VLOOKUP($D564,Sheet1!$D$5:$F$192,2,TRUE)</f>
        <v>~|(</v>
      </c>
      <c r="N564" s="23">
        <f>FLOOR(VLOOKUP($D564,Sheet1!$G$5:$I$192,3,TRUE),1)</f>
        <v>7</v>
      </c>
      <c r="O564" s="42" t="str">
        <f>VLOOKUP($D564,Sheet1!$G$5:$I$192,2,TRUE)</f>
        <v>~|(</v>
      </c>
      <c r="P564" s="23">
        <v>1</v>
      </c>
      <c r="Q564" s="43" t="str">
        <f>VLOOKUP($D564,Sheet1!$J$5:$L$192,2,TRUE)</f>
        <v>~|('</v>
      </c>
      <c r="R564" s="23">
        <f>FLOOR(VLOOKUP($D564,Sheet1!$M$5:$O$192,3,TRUE),1)</f>
        <v>31</v>
      </c>
      <c r="S564" s="42" t="str">
        <f>VLOOKUP($D564,Sheet1!$M$5:$O$192,2,TRUE)</f>
        <v>~|('</v>
      </c>
      <c r="T564" s="117">
        <f>IF(ABS(D564-VLOOKUP($D564,Sheet1!$M$5:$T$192,8,TRUE))&lt;10^-10,"SoCA",D564-VLOOKUP($D564,Sheet1!$M$5:$T$192,8,TRUE))</f>
        <v>6.6817005429999909E-2</v>
      </c>
      <c r="U564" s="109">
        <f>IF(VLOOKUP($D564,Sheet1!$M$5:$U$192,9,TRUE)=0,"",IF(ABS(D564-VLOOKUP($D564,Sheet1!$M$5:$U$192,9,TRUE))&lt;10^-10,"Alt.",D564-VLOOKUP($D564,Sheet1!$M$5:$U$192,9,TRUE)))</f>
        <v>9.3777300632433835E-2</v>
      </c>
      <c r="V564" s="132">
        <f>$D564-Sheet1!$M$3*$R564</f>
        <v>9.4474089763238567E-2</v>
      </c>
      <c r="Z564" s="6"/>
      <c r="AA564" s="61"/>
    </row>
    <row r="565" spans="1:27" ht="13.5">
      <c r="A565" t="s">
        <v>1422</v>
      </c>
      <c r="B565">
        <v>461824</v>
      </c>
      <c r="C565">
        <v>465831</v>
      </c>
      <c r="D565" s="13">
        <f t="shared" si="12"/>
        <v>14.95620242226085</v>
      </c>
      <c r="E565" s="61" t="s">
        <v>1931</v>
      </c>
      <c r="F565" s="65">
        <v>152.81739854459485</v>
      </c>
      <c r="G565" s="6">
        <v>1339</v>
      </c>
      <c r="H565" s="6">
        <v>1271</v>
      </c>
      <c r="I565" s="65">
        <v>7.0790921284493873</v>
      </c>
      <c r="J565" s="6">
        <f>VLOOKUP($D565,Sheet1!$A$5:$C$192,3,TRUE)</f>
        <v>3</v>
      </c>
      <c r="K565" s="42" t="str">
        <f>VLOOKUP($D565,Sheet1!$A$5:$C$192,2,TRUE)</f>
        <v>~|(</v>
      </c>
      <c r="L565" s="6">
        <f>FLOOR(VLOOKUP($D565,Sheet1!$D$5:$F$192,3,TRUE),1)</f>
        <v>6</v>
      </c>
      <c r="M565" s="42" t="str">
        <f>VLOOKUP($D565,Sheet1!$D$5:$F$192,2,TRUE)</f>
        <v>~|(</v>
      </c>
      <c r="N565" s="23">
        <f>FLOOR(VLOOKUP($D565,Sheet1!$G$5:$I$192,3,TRUE),1)</f>
        <v>7</v>
      </c>
      <c r="O565" s="42" t="str">
        <f>VLOOKUP($D565,Sheet1!$G$5:$I$192,2,TRUE)</f>
        <v>~|(</v>
      </c>
      <c r="P565" s="23">
        <v>1</v>
      </c>
      <c r="Q565" s="43" t="str">
        <f>VLOOKUP($D565,Sheet1!$J$5:$L$192,2,TRUE)</f>
        <v>~|('</v>
      </c>
      <c r="R565" s="23">
        <f>FLOOR(VLOOKUP($D565,Sheet1!$M$5:$O$192,3,TRUE),1)</f>
        <v>31</v>
      </c>
      <c r="S565" s="42" t="str">
        <f>VLOOKUP($D565,Sheet1!$M$5:$O$192,2,TRUE)</f>
        <v>~|('</v>
      </c>
      <c r="T565" s="117">
        <f>IF(ABS(D565-VLOOKUP($D565,Sheet1!$M$5:$T$192,8,TRUE))&lt;10^-10,"SoCA",D565-VLOOKUP($D565,Sheet1!$M$5:$T$192,8,TRUE))</f>
        <v>-0.19692757103835312</v>
      </c>
      <c r="U565" s="109">
        <f>IF(VLOOKUP($D565,Sheet1!$M$5:$U$192,9,TRUE)=0,"",IF(ABS(D565-VLOOKUP($D565,Sheet1!$M$5:$U$192,9,TRUE))&lt;10^-10,"Alt.",D565-VLOOKUP($D565,Sheet1!$M$5:$U$192,9,TRUE)))</f>
        <v>-0.1699672758359192</v>
      </c>
      <c r="V565" s="132">
        <f>$D565-Sheet1!$M$3*$R565</f>
        <v>-0.16927048670511446</v>
      </c>
      <c r="Z565" s="6"/>
      <c r="AA565" s="61"/>
    </row>
    <row r="566" spans="1:27" ht="13.5">
      <c r="A566" t="s">
        <v>1316</v>
      </c>
      <c r="B566">
        <v>14337</v>
      </c>
      <c r="C566">
        <v>14464</v>
      </c>
      <c r="D566" s="13">
        <f t="shared" si="12"/>
        <v>15.2680913370786</v>
      </c>
      <c r="E566" s="61" t="s">
        <v>1931</v>
      </c>
      <c r="F566" s="65">
        <v>173.33091789080351</v>
      </c>
      <c r="G566" s="6">
        <v>1225</v>
      </c>
      <c r="H566" s="6">
        <v>1165</v>
      </c>
      <c r="I566" s="65">
        <v>-5.9401120083091214</v>
      </c>
      <c r="J566" s="6">
        <f>VLOOKUP($D566,Sheet1!$A$5:$C$192,3,TRUE)</f>
        <v>3</v>
      </c>
      <c r="K566" s="42" t="str">
        <f>VLOOKUP($D566,Sheet1!$A$5:$C$192,2,TRUE)</f>
        <v>~|(</v>
      </c>
      <c r="L566" s="6">
        <f>FLOOR(VLOOKUP($D566,Sheet1!$D$5:$F$192,3,TRUE),1)</f>
        <v>6</v>
      </c>
      <c r="M566" s="42" t="str">
        <f>VLOOKUP($D566,Sheet1!$D$5:$F$192,2,TRUE)</f>
        <v>~|(</v>
      </c>
      <c r="N566" s="23">
        <f>FLOOR(VLOOKUP($D566,Sheet1!$G$5:$I$192,3,TRUE),1)</f>
        <v>7</v>
      </c>
      <c r="O566" s="42" t="str">
        <f>VLOOKUP($D566,Sheet1!$G$5:$I$192,2,TRUE)</f>
        <v>~|(</v>
      </c>
      <c r="P566" s="23">
        <v>1</v>
      </c>
      <c r="Q566" s="43" t="str">
        <f>VLOOKUP($D566,Sheet1!$J$5:$L$192,2,TRUE)</f>
        <v>~|('</v>
      </c>
      <c r="R566" s="23">
        <f>FLOOR(VLOOKUP($D566,Sheet1!$M$5:$O$192,3,TRUE),1)</f>
        <v>31</v>
      </c>
      <c r="S566" s="42" t="str">
        <f>VLOOKUP($D566,Sheet1!$M$5:$O$192,2,TRUE)</f>
        <v>~|('</v>
      </c>
      <c r="T566" s="117">
        <f>IF(ABS(D566-VLOOKUP($D566,Sheet1!$M$5:$T$192,8,TRUE))&lt;10^-10,"SoCA",D566-VLOOKUP($D566,Sheet1!$M$5:$T$192,8,TRUE))</f>
        <v>0.11496134377939704</v>
      </c>
      <c r="U566" s="109">
        <f>IF(VLOOKUP($D566,Sheet1!$M$5:$U$192,9,TRUE)=0,"",IF(ABS(D566-VLOOKUP($D566,Sheet1!$M$5:$U$192,9,TRUE))&lt;10^-10,"Alt.",D566-VLOOKUP($D566,Sheet1!$M$5:$U$192,9,TRUE)))</f>
        <v>0.14192163898183097</v>
      </c>
      <c r="V566" s="132">
        <f>$D566-Sheet1!$M$3*$R566</f>
        <v>0.1426184281126357</v>
      </c>
      <c r="Z566" s="6"/>
      <c r="AA566" s="61"/>
    </row>
    <row r="567" spans="1:27" ht="13.5">
      <c r="A567" t="s">
        <v>1419</v>
      </c>
      <c r="B567">
        <v>20480000</v>
      </c>
      <c r="C567">
        <v>20660589</v>
      </c>
      <c r="D567" s="13">
        <f t="shared" si="12"/>
        <v>15.198802026251833</v>
      </c>
      <c r="E567" s="61" t="s">
        <v>1931</v>
      </c>
      <c r="F567" s="65">
        <v>192.88963699919822</v>
      </c>
      <c r="G567" s="6">
        <v>1336</v>
      </c>
      <c r="H567" s="6">
        <v>1268</v>
      </c>
      <c r="I567" s="65">
        <v>7.0641543869931853</v>
      </c>
      <c r="J567" s="6">
        <f>VLOOKUP($D567,Sheet1!$A$5:$C$192,3,TRUE)</f>
        <v>3</v>
      </c>
      <c r="K567" s="42" t="str">
        <f>VLOOKUP($D567,Sheet1!$A$5:$C$192,2,TRUE)</f>
        <v>~|(</v>
      </c>
      <c r="L567" s="6">
        <f>FLOOR(VLOOKUP($D567,Sheet1!$D$5:$F$192,3,TRUE),1)</f>
        <v>6</v>
      </c>
      <c r="M567" s="42" t="str">
        <f>VLOOKUP($D567,Sheet1!$D$5:$F$192,2,TRUE)</f>
        <v>~|(</v>
      </c>
      <c r="N567" s="23">
        <f>FLOOR(VLOOKUP($D567,Sheet1!$G$5:$I$192,3,TRUE),1)</f>
        <v>7</v>
      </c>
      <c r="O567" s="42" t="str">
        <f>VLOOKUP($D567,Sheet1!$G$5:$I$192,2,TRUE)</f>
        <v>~|(</v>
      </c>
      <c r="P567" s="23">
        <v>1</v>
      </c>
      <c r="Q567" s="43" t="str">
        <f>VLOOKUP($D567,Sheet1!$J$5:$L$192,2,TRUE)</f>
        <v>~|('</v>
      </c>
      <c r="R567" s="23">
        <f>FLOOR(VLOOKUP($D567,Sheet1!$M$5:$O$192,3,TRUE),1)</f>
        <v>31</v>
      </c>
      <c r="S567" s="42" t="str">
        <f>VLOOKUP($D567,Sheet1!$M$5:$O$192,2,TRUE)</f>
        <v>~|('</v>
      </c>
      <c r="T567" s="117">
        <f>IF(ABS(D567-VLOOKUP($D567,Sheet1!$M$5:$T$192,8,TRUE))&lt;10^-10,"SoCA",D567-VLOOKUP($D567,Sheet1!$M$5:$T$192,8,TRUE))</f>
        <v>4.5672032952630559E-2</v>
      </c>
      <c r="U567" s="109">
        <f>IF(VLOOKUP($D567,Sheet1!$M$5:$U$192,9,TRUE)=0,"",IF(ABS(D567-VLOOKUP($D567,Sheet1!$M$5:$U$192,9,TRUE))&lt;10^-10,"Alt.",D567-VLOOKUP($D567,Sheet1!$M$5:$U$192,9,TRUE)))</f>
        <v>7.2632328155064485E-2</v>
      </c>
      <c r="V567" s="132">
        <f>$D567-Sheet1!$M$3*$R567</f>
        <v>7.3329117285869216E-2</v>
      </c>
      <c r="Z567" s="6"/>
      <c r="AA567" s="61"/>
    </row>
    <row r="568" spans="1:27" ht="13.5">
      <c r="A568" t="s">
        <v>1421</v>
      </c>
      <c r="B568">
        <v>813056</v>
      </c>
      <c r="C568">
        <v>820125</v>
      </c>
      <c r="D568" s="13">
        <f t="shared" si="12"/>
        <v>14.986911946054413</v>
      </c>
      <c r="E568" s="61" t="s">
        <v>1931</v>
      </c>
      <c r="F568" s="65">
        <v>583.30850656201972</v>
      </c>
      <c r="G568" s="6">
        <v>1338</v>
      </c>
      <c r="H568" s="6">
        <v>1270</v>
      </c>
      <c r="I568" s="65">
        <v>7.0772012311885319</v>
      </c>
      <c r="J568" s="6">
        <f>VLOOKUP($D568,Sheet1!$A$5:$C$192,3,TRUE)</f>
        <v>3</v>
      </c>
      <c r="K568" s="42" t="str">
        <f>VLOOKUP($D568,Sheet1!$A$5:$C$192,2,TRUE)</f>
        <v>~|(</v>
      </c>
      <c r="L568" s="6">
        <f>FLOOR(VLOOKUP($D568,Sheet1!$D$5:$F$192,3,TRUE),1)</f>
        <v>6</v>
      </c>
      <c r="M568" s="42" t="str">
        <f>VLOOKUP($D568,Sheet1!$D$5:$F$192,2,TRUE)</f>
        <v>~|(</v>
      </c>
      <c r="N568" s="23">
        <f>FLOOR(VLOOKUP($D568,Sheet1!$G$5:$I$192,3,TRUE),1)</f>
        <v>7</v>
      </c>
      <c r="O568" s="42" t="str">
        <f>VLOOKUP($D568,Sheet1!$G$5:$I$192,2,TRUE)</f>
        <v>~|(</v>
      </c>
      <c r="P568" s="23">
        <v>1</v>
      </c>
      <c r="Q568" s="43" t="str">
        <f>VLOOKUP($D568,Sheet1!$J$5:$L$192,2,TRUE)</f>
        <v>~|('</v>
      </c>
      <c r="R568" s="23">
        <f>FLOOR(VLOOKUP($D568,Sheet1!$M$5:$O$192,3,TRUE),1)</f>
        <v>31</v>
      </c>
      <c r="S568" s="42" t="str">
        <f>VLOOKUP($D568,Sheet1!$M$5:$O$192,2,TRUE)</f>
        <v>~|('</v>
      </c>
      <c r="T568" s="117">
        <f>IF(ABS(D568-VLOOKUP($D568,Sheet1!$M$5:$T$192,8,TRUE))&lt;10^-10,"SoCA",D568-VLOOKUP($D568,Sheet1!$M$5:$T$192,8,TRUE))</f>
        <v>-0.16621804724479006</v>
      </c>
      <c r="U568" s="109">
        <f>IF(VLOOKUP($D568,Sheet1!$M$5:$U$192,9,TRUE)=0,"",IF(ABS(D568-VLOOKUP($D568,Sheet1!$M$5:$U$192,9,TRUE))&lt;10^-10,"Alt.",D568-VLOOKUP($D568,Sheet1!$M$5:$U$192,9,TRUE)))</f>
        <v>-0.13925775204235613</v>
      </c>
      <c r="V568" s="132">
        <f>$D568-Sheet1!$M$3*$R568</f>
        <v>-0.1385609629115514</v>
      </c>
      <c r="Z568" s="6"/>
      <c r="AA568" s="61"/>
    </row>
    <row r="569" spans="1:27" ht="13.5">
      <c r="A569" s="6" t="s">
        <v>1912</v>
      </c>
      <c r="B569">
        <v>86270589</v>
      </c>
      <c r="C569">
        <v>87031808</v>
      </c>
      <c r="D569" s="13">
        <f t="shared" si="12"/>
        <v>15.208753598237454</v>
      </c>
      <c r="E569" s="61" t="s">
        <v>1931</v>
      </c>
      <c r="F569" s="65">
        <v>674.6533609630128</v>
      </c>
      <c r="G569" s="59">
        <v>1752</v>
      </c>
      <c r="H569" s="63">
        <v>1000117</v>
      </c>
      <c r="I569" s="65">
        <v>-11.93645836754952</v>
      </c>
      <c r="J569" s="6">
        <f>VLOOKUP($D569,Sheet1!$A$5:$C$192,3,TRUE)</f>
        <v>3</v>
      </c>
      <c r="K569" s="42" t="str">
        <f>VLOOKUP($D569,Sheet1!$A$5:$C$192,2,TRUE)</f>
        <v>~|(</v>
      </c>
      <c r="L569" s="6">
        <f>FLOOR(VLOOKUP($D569,Sheet1!$D$5:$F$192,3,TRUE),1)</f>
        <v>6</v>
      </c>
      <c r="M569" s="42" t="str">
        <f>VLOOKUP($D569,Sheet1!$D$5:$F$192,2,TRUE)</f>
        <v>~|(</v>
      </c>
      <c r="N569" s="23">
        <f>FLOOR(VLOOKUP($D569,Sheet1!$G$5:$I$192,3,TRUE),1)</f>
        <v>7</v>
      </c>
      <c r="O569" s="42" t="str">
        <f>VLOOKUP($D569,Sheet1!$G$5:$I$192,2,TRUE)</f>
        <v>~|(</v>
      </c>
      <c r="P569" s="23">
        <v>1</v>
      </c>
      <c r="Q569" s="43" t="str">
        <f>VLOOKUP($D569,Sheet1!$J$5:$L$192,2,TRUE)</f>
        <v>~|('</v>
      </c>
      <c r="R569" s="23">
        <f>FLOOR(VLOOKUP($D569,Sheet1!$M$5:$O$192,3,TRUE),1)</f>
        <v>31</v>
      </c>
      <c r="S569" s="42" t="str">
        <f>VLOOKUP($D569,Sheet1!$M$5:$O$192,2,TRUE)</f>
        <v>~|('</v>
      </c>
      <c r="T569" s="117">
        <f>IF(ABS(D569-VLOOKUP($D569,Sheet1!$M$5:$T$192,8,TRUE))&lt;10^-10,"SoCA",D569-VLOOKUP($D569,Sheet1!$M$5:$T$192,8,TRUE))</f>
        <v>5.5623604938251248E-2</v>
      </c>
      <c r="U569" s="109">
        <f>IF(VLOOKUP($D569,Sheet1!$M$5:$U$192,9,TRUE)=0,"",IF(ABS(D569-VLOOKUP($D569,Sheet1!$M$5:$U$192,9,TRUE))&lt;10^-10,"Alt.",D569-VLOOKUP($D569,Sheet1!$M$5:$U$192,9,TRUE)))</f>
        <v>8.2583900140685174E-2</v>
      </c>
      <c r="V569" s="132">
        <f>$D569-Sheet1!$M$3*$R569</f>
        <v>8.3280689271489905E-2</v>
      </c>
      <c r="Z569" s="6"/>
      <c r="AA569" s="61"/>
    </row>
    <row r="570" spans="1:27" ht="13.5">
      <c r="A570" t="s">
        <v>1230</v>
      </c>
      <c r="B570">
        <v>4273811456</v>
      </c>
      <c r="C570">
        <v>4310813925</v>
      </c>
      <c r="D570" s="13">
        <f t="shared" si="12"/>
        <v>14.924432485639674</v>
      </c>
      <c r="E570" s="61" t="s">
        <v>1931</v>
      </c>
      <c r="F570" s="65">
        <v>1703899.750959534</v>
      </c>
      <c r="G570" s="6">
        <v>1139</v>
      </c>
      <c r="H570" s="6">
        <v>1079</v>
      </c>
      <c r="I570" s="65">
        <v>5.0810483191913338</v>
      </c>
      <c r="J570" s="6">
        <f>VLOOKUP($D570,Sheet1!$A$5:$C$192,3,TRUE)</f>
        <v>3</v>
      </c>
      <c r="K570" s="42" t="str">
        <f>VLOOKUP($D570,Sheet1!$A$5:$C$192,2,TRUE)</f>
        <v>~|(</v>
      </c>
      <c r="L570" s="6">
        <f>FLOOR(VLOOKUP($D570,Sheet1!$D$5:$F$192,3,TRUE),1)</f>
        <v>6</v>
      </c>
      <c r="M570" s="42" t="str">
        <f>VLOOKUP($D570,Sheet1!$D$5:$F$192,2,TRUE)</f>
        <v>~|(</v>
      </c>
      <c r="N570" s="23">
        <f>FLOOR(VLOOKUP($D570,Sheet1!$G$5:$I$192,3,TRUE),1)</f>
        <v>7</v>
      </c>
      <c r="O570" s="42" t="str">
        <f>VLOOKUP($D570,Sheet1!$G$5:$I$192,2,TRUE)</f>
        <v>~|(</v>
      </c>
      <c r="P570" s="23">
        <v>1</v>
      </c>
      <c r="Q570" s="43" t="str">
        <f>VLOOKUP($D570,Sheet1!$J$5:$L$192,2,TRUE)</f>
        <v>~|('</v>
      </c>
      <c r="R570" s="23">
        <f>FLOOR(VLOOKUP($D570,Sheet1!$M$5:$O$192,3,TRUE),1)</f>
        <v>31</v>
      </c>
      <c r="S570" s="42" t="str">
        <f>VLOOKUP($D570,Sheet1!$M$5:$O$192,2,TRUE)</f>
        <v>~|('</v>
      </c>
      <c r="T570" s="117">
        <f>IF(ABS(D570-VLOOKUP($D570,Sheet1!$M$5:$T$192,8,TRUE))&lt;10^-10,"SoCA",D570-VLOOKUP($D570,Sheet1!$M$5:$T$192,8,TRUE))</f>
        <v>-0.22869750765952901</v>
      </c>
      <c r="U570" s="109">
        <f>IF(VLOOKUP($D570,Sheet1!$M$5:$U$192,9,TRUE)=0,"",IF(ABS(D570-VLOOKUP($D570,Sheet1!$M$5:$U$192,9,TRUE))&lt;10^-10,"Alt.",D570-VLOOKUP($D570,Sheet1!$M$5:$U$192,9,TRUE)))</f>
        <v>-0.20173721245709508</v>
      </c>
      <c r="V570" s="132">
        <f>$D570-Sheet1!$M$3*$R570</f>
        <v>-0.20104042332629035</v>
      </c>
      <c r="Z570" s="6"/>
      <c r="AA570" s="61"/>
    </row>
    <row r="571" spans="1:27" ht="13.5">
      <c r="A571" t="s">
        <v>1420</v>
      </c>
      <c r="B571">
        <v>12850733056</v>
      </c>
      <c r="C571">
        <v>12963728997</v>
      </c>
      <c r="D571" s="13">
        <f t="shared" si="12"/>
        <v>15.156129882933724</v>
      </c>
      <c r="E571" s="61" t="s">
        <v>1931</v>
      </c>
      <c r="F571" s="65">
        <v>2776417.2226658142</v>
      </c>
      <c r="G571" s="6">
        <v>1337</v>
      </c>
      <c r="H571" s="6">
        <v>1269</v>
      </c>
      <c r="I571" s="65">
        <v>7.0667818663203636</v>
      </c>
      <c r="J571" s="6">
        <f>VLOOKUP($D571,Sheet1!$A$5:$C$192,3,TRUE)</f>
        <v>3</v>
      </c>
      <c r="K571" s="42" t="str">
        <f>VLOOKUP($D571,Sheet1!$A$5:$C$192,2,TRUE)</f>
        <v>~|(</v>
      </c>
      <c r="L571" s="6">
        <f>FLOOR(VLOOKUP($D571,Sheet1!$D$5:$F$192,3,TRUE),1)</f>
        <v>6</v>
      </c>
      <c r="M571" s="42" t="str">
        <f>VLOOKUP($D571,Sheet1!$D$5:$F$192,2,TRUE)</f>
        <v>~|(</v>
      </c>
      <c r="N571" s="23">
        <f>FLOOR(VLOOKUP($D571,Sheet1!$G$5:$I$192,3,TRUE),1)</f>
        <v>7</v>
      </c>
      <c r="O571" s="42" t="str">
        <f>VLOOKUP($D571,Sheet1!$G$5:$I$192,2,TRUE)</f>
        <v>~|(</v>
      </c>
      <c r="P571" s="23">
        <v>1</v>
      </c>
      <c r="Q571" s="43" t="str">
        <f>VLOOKUP($D571,Sheet1!$J$5:$L$192,2,TRUE)</f>
        <v>~|('</v>
      </c>
      <c r="R571" s="23">
        <f>FLOOR(VLOOKUP($D571,Sheet1!$M$5:$O$192,3,TRUE),1)</f>
        <v>31</v>
      </c>
      <c r="S571" s="42" t="str">
        <f>VLOOKUP($D571,Sheet1!$M$5:$O$192,2,TRUE)</f>
        <v>~|('</v>
      </c>
      <c r="T571" s="117">
        <f>IF(ABS(D571-VLOOKUP($D571,Sheet1!$M$5:$T$192,8,TRUE))&lt;10^-10,"SoCA",D571-VLOOKUP($D571,Sheet1!$M$5:$T$192,8,TRUE))</f>
        <v>2.9998896345215798E-3</v>
      </c>
      <c r="U571" s="109">
        <f>IF(VLOOKUP($D571,Sheet1!$M$5:$U$192,9,TRUE)=0,"",IF(ABS(D571-VLOOKUP($D571,Sheet1!$M$5:$U$192,9,TRUE))&lt;10^-10,"Alt.",D571-VLOOKUP($D571,Sheet1!$M$5:$U$192,9,TRUE)))</f>
        <v>2.9960184836955506E-2</v>
      </c>
      <c r="V571" s="132">
        <f>$D571-Sheet1!$M$3*$R571</f>
        <v>3.0656973967760237E-2</v>
      </c>
      <c r="Z571" s="6"/>
      <c r="AA571" s="61"/>
    </row>
    <row r="572" spans="1:27" ht="13.5">
      <c r="A572" s="87" t="s">
        <v>67</v>
      </c>
      <c r="B572" s="91">
        <f>2^14*5^2</f>
        <v>409600</v>
      </c>
      <c r="C572" s="87">
        <f>3^10*7</f>
        <v>413343</v>
      </c>
      <c r="D572" s="13">
        <f t="shared" si="12"/>
        <v>15.748487393329595</v>
      </c>
      <c r="E572" s="61">
        <v>7</v>
      </c>
      <c r="F572" s="65">
        <v>32.980600997738499</v>
      </c>
      <c r="G572" s="6">
        <v>39</v>
      </c>
      <c r="H572" s="6">
        <v>54</v>
      </c>
      <c r="I572" s="65">
        <v>9.0303082563293842</v>
      </c>
      <c r="J572" s="6">
        <f>VLOOKUP($D572,Sheet1!$A$5:$C$192,3,TRUE)</f>
        <v>3</v>
      </c>
      <c r="K572" s="42" t="str">
        <f>VLOOKUP($D572,Sheet1!$A$5:$C$192,2,TRUE)</f>
        <v>~|(</v>
      </c>
      <c r="L572" s="6">
        <f>FLOOR(VLOOKUP($D572,Sheet1!$D$5:$F$192,3,TRUE),1)</f>
        <v>7</v>
      </c>
      <c r="M572" s="42" t="str">
        <f>VLOOKUP($D572,Sheet1!$D$5:$F$192,2,TRUE)</f>
        <v>|~</v>
      </c>
      <c r="N572" s="23">
        <f>FLOOR(VLOOKUP($D572,Sheet1!$G$5:$I$192,3,TRUE),1)</f>
        <v>8</v>
      </c>
      <c r="O572" s="42" t="str">
        <f>VLOOKUP($D572,Sheet1!$G$5:$I$192,2,TRUE)</f>
        <v>|~</v>
      </c>
      <c r="P572" s="23">
        <v>1</v>
      </c>
      <c r="Q572" s="45" t="str">
        <f>VLOOKUP($D572,Sheet1!$J$5:$L$192,2,TRUE)</f>
        <v>|~..</v>
      </c>
      <c r="R572" s="38">
        <f>FLOOR(VLOOKUP($D572,Sheet1!$M$5:$O$192,3,TRUE),1)</f>
        <v>32</v>
      </c>
      <c r="S572" s="45" t="str">
        <f>VLOOKUP($D572,Sheet1!$M$5:$O$192,2,TRUE)</f>
        <v>|~..</v>
      </c>
      <c r="T572" s="108">
        <f>IF(ABS(D572-VLOOKUP($D572,Sheet1!$M$5:$T$192,8,TRUE))&lt;10^-10,"SoCA",D572-VLOOKUP($D572,Sheet1!$M$5:$T$192,8,TRUE))</f>
        <v>3.6669521340391142E-2</v>
      </c>
      <c r="U572" s="108">
        <f>IF(VLOOKUP($D572,Sheet1!$M$5:$U$192,9,TRUE)=0,"",IF(ABS(D572-VLOOKUP($D572,Sheet1!$M$5:$U$192,9,TRUE))&lt;10^-10,"Alt.",D572-VLOOKUP($D572,Sheet1!$M$5:$U$192,9,TRUE)))</f>
        <v>2.2617353945934227E-2</v>
      </c>
      <c r="V572" s="133">
        <f>$D572-Sheet1!$M$3*$R572</f>
        <v>0.13509600342924521</v>
      </c>
      <c r="Z572" s="6"/>
      <c r="AA572" s="61"/>
    </row>
    <row r="573" spans="1:27" ht="13.5">
      <c r="A573" s="40" t="s">
        <v>1797</v>
      </c>
      <c r="B573" s="98">
        <f>3^10*11</f>
        <v>649539</v>
      </c>
      <c r="C573" s="52">
        <f>2^17*5</f>
        <v>655360</v>
      </c>
      <c r="D573" s="13">
        <f t="shared" si="12"/>
        <v>15.445762846204065</v>
      </c>
      <c r="E573" s="61">
        <v>11</v>
      </c>
      <c r="F573" s="65">
        <v>39.980182036973112</v>
      </c>
      <c r="G573" s="59">
        <v>81</v>
      </c>
      <c r="H573" s="63">
        <v>1000002</v>
      </c>
      <c r="I573" s="65">
        <v>-10.951051890418526</v>
      </c>
      <c r="J573" s="6">
        <f>VLOOKUP($D573,Sheet1!$A$5:$C$192,3,TRUE)</f>
        <v>3</v>
      </c>
      <c r="K573" s="42" t="str">
        <f>VLOOKUP($D573,Sheet1!$A$5:$C$192,2,TRUE)</f>
        <v>~|(</v>
      </c>
      <c r="L573" s="6">
        <f>FLOOR(VLOOKUP($D573,Sheet1!$D$5:$F$192,3,TRUE),1)</f>
        <v>7</v>
      </c>
      <c r="M573" s="42" t="str">
        <f>VLOOKUP($D573,Sheet1!$D$5:$F$192,2,TRUE)</f>
        <v>|~</v>
      </c>
      <c r="N573" s="23">
        <f>FLOOR(VLOOKUP($D573,Sheet1!$G$5:$I$192,3,TRUE),1)</f>
        <v>8</v>
      </c>
      <c r="O573" s="42" t="str">
        <f>VLOOKUP($D573,Sheet1!$G$5:$I$192,2,TRUE)</f>
        <v>|~</v>
      </c>
      <c r="P573" s="23">
        <v>1</v>
      </c>
      <c r="Q573" s="43" t="str">
        <f>VLOOKUP($D573,Sheet1!$J$5:$L$192,2,TRUE)</f>
        <v>|~..</v>
      </c>
      <c r="R573" s="40">
        <f>FLOOR(VLOOKUP($D573,Sheet1!$M$5:$O$192,3,TRUE),1)</f>
        <v>32</v>
      </c>
      <c r="S573" s="46" t="str">
        <f>VLOOKUP($D573,Sheet1!$M$5:$O$192,2,TRUE)</f>
        <v>~|(''</v>
      </c>
      <c r="T573" s="115">
        <f>IF(ABS(D573-VLOOKUP($D573,Sheet1!$M$5:$T$192,8,TRUE))&lt;10^-10,"SoCA",D573-VLOOKUP($D573,Sheet1!$M$5:$T$192,8,TRUE))</f>
        <v>-0.11717518524191206</v>
      </c>
      <c r="U573" s="115">
        <f>IF(VLOOKUP($D573,Sheet1!$M$5:$U$192,9,TRUE)=0,"",IF(ABS(D573-VLOOKUP($D573,Sheet1!$M$5:$U$192,9,TRUE))&lt;10^-10,"Alt.",D573-VLOOKUP($D573,Sheet1!$M$5:$U$192,9,TRUE)))</f>
        <v>-0.10312301784745515</v>
      </c>
      <c r="V573" s="132">
        <f>$D573-Sheet1!$M$3*$R573</f>
        <v>-0.16762854369628499</v>
      </c>
      <c r="Z573" s="6"/>
      <c r="AA573" s="61"/>
    </row>
    <row r="574" spans="1:27" ht="13.5">
      <c r="A574" s="6" t="s">
        <v>440</v>
      </c>
      <c r="B574" s="6">
        <f>3^6*5*7^2</f>
        <v>178605</v>
      </c>
      <c r="C574" s="6">
        <f>2^14*11</f>
        <v>180224</v>
      </c>
      <c r="D574" s="13">
        <f t="shared" si="12"/>
        <v>15.622410369347341</v>
      </c>
      <c r="E574" s="61">
        <v>11</v>
      </c>
      <c r="F574" s="65">
        <v>43.80607189639619</v>
      </c>
      <c r="G574" s="6">
        <v>279</v>
      </c>
      <c r="H574" s="6">
        <v>278</v>
      </c>
      <c r="I574" s="65">
        <v>-6.9619287219804225</v>
      </c>
      <c r="J574" s="6">
        <f>VLOOKUP($D574,Sheet1!$A$5:$C$192,3,TRUE)</f>
        <v>3</v>
      </c>
      <c r="K574" s="42" t="str">
        <f>VLOOKUP($D574,Sheet1!$A$5:$C$192,2,TRUE)</f>
        <v>~|(</v>
      </c>
      <c r="L574" s="6">
        <f>FLOOR(VLOOKUP($D574,Sheet1!$D$5:$F$192,3,TRUE),1)</f>
        <v>7</v>
      </c>
      <c r="M574" s="42" t="str">
        <f>VLOOKUP($D574,Sheet1!$D$5:$F$192,2,TRUE)</f>
        <v>|~</v>
      </c>
      <c r="N574" s="23">
        <f>FLOOR(VLOOKUP($D574,Sheet1!$G$5:$I$192,3,TRUE),1)</f>
        <v>8</v>
      </c>
      <c r="O574" s="42" t="str">
        <f>VLOOKUP($D574,Sheet1!$G$5:$I$192,2,TRUE)</f>
        <v>|~</v>
      </c>
      <c r="P574" s="23">
        <v>1</v>
      </c>
      <c r="Q574" s="43" t="str">
        <f>VLOOKUP($D574,Sheet1!$J$5:$L$192,2,TRUE)</f>
        <v>|~..</v>
      </c>
      <c r="R574" s="23">
        <f>FLOOR(VLOOKUP($D574,Sheet1!$M$5:$O$192,3,TRUE),1)</f>
        <v>32</v>
      </c>
      <c r="S574" s="42" t="str">
        <f>VLOOKUP($D574,Sheet1!$M$5:$O$192,2,TRUE)</f>
        <v>|~..</v>
      </c>
      <c r="T574" s="117">
        <f>IF(ABS(D574-VLOOKUP($D574,Sheet1!$M$5:$T$192,8,TRUE))&lt;10^-10,"SoCA",D574-VLOOKUP($D574,Sheet1!$M$5:$T$192,8,TRUE))</f>
        <v>-8.9407502641863701E-2</v>
      </c>
      <c r="U574" s="109">
        <f>IF(VLOOKUP($D574,Sheet1!$M$5:$U$192,9,TRUE)=0,"",IF(ABS(D574-VLOOKUP($D574,Sheet1!$M$5:$U$192,9,TRUE))&lt;10^-10,"Alt.",D574-VLOOKUP($D574,Sheet1!$M$5:$U$192,9,TRUE)))</f>
        <v>-0.10345967003632062</v>
      </c>
      <c r="V574" s="132">
        <f>$D574-Sheet1!$M$3*$R574</f>
        <v>9.0189794469903717E-3</v>
      </c>
      <c r="Z574" s="6"/>
      <c r="AA574" s="61"/>
    </row>
    <row r="575" spans="1:27" ht="13.5">
      <c r="A575" s="6" t="s">
        <v>334</v>
      </c>
      <c r="B575" s="6">
        <f>3*37</f>
        <v>111</v>
      </c>
      <c r="C575" s="6">
        <f>2^4*7</f>
        <v>112</v>
      </c>
      <c r="D575" s="13">
        <f t="shared" si="12"/>
        <v>15.526866848997617</v>
      </c>
      <c r="E575" s="61">
        <v>37</v>
      </c>
      <c r="F575" s="65">
        <v>44.062182029134732</v>
      </c>
      <c r="G575" s="6">
        <v>184</v>
      </c>
      <c r="H575" s="6">
        <v>167</v>
      </c>
      <c r="I575" s="65">
        <v>-1.9560457593484939</v>
      </c>
      <c r="J575" s="6">
        <f>VLOOKUP($D575,Sheet1!$A$5:$C$192,3,TRUE)</f>
        <v>3</v>
      </c>
      <c r="K575" s="42" t="str">
        <f>VLOOKUP($D575,Sheet1!$A$5:$C$192,2,TRUE)</f>
        <v>~|(</v>
      </c>
      <c r="L575" s="6">
        <f>FLOOR(VLOOKUP($D575,Sheet1!$D$5:$F$192,3,TRUE),1)</f>
        <v>7</v>
      </c>
      <c r="M575" s="42" t="str">
        <f>VLOOKUP($D575,Sheet1!$D$5:$F$192,2,TRUE)</f>
        <v>|~</v>
      </c>
      <c r="N575" s="23">
        <f>FLOOR(VLOOKUP($D575,Sheet1!$G$5:$I$192,3,TRUE),1)</f>
        <v>8</v>
      </c>
      <c r="O575" s="42" t="str">
        <f>VLOOKUP($D575,Sheet1!$G$5:$I$192,2,TRUE)</f>
        <v>|~</v>
      </c>
      <c r="P575" s="23">
        <v>1</v>
      </c>
      <c r="Q575" s="43" t="str">
        <f>VLOOKUP($D575,Sheet1!$J$5:$L$192,2,TRUE)</f>
        <v>|~..</v>
      </c>
      <c r="R575" s="23">
        <f>FLOOR(VLOOKUP($D575,Sheet1!$M$5:$O$192,3,TRUE),1)</f>
        <v>32</v>
      </c>
      <c r="S575" s="42" t="str">
        <f>VLOOKUP($D575,Sheet1!$M$5:$O$192,2,TRUE)</f>
        <v>~|(''</v>
      </c>
      <c r="T575" s="117">
        <f>IF(ABS(D575-VLOOKUP($D575,Sheet1!$M$5:$T$192,8,TRUE))&lt;10^-10,"SoCA",D575-VLOOKUP($D575,Sheet1!$M$5:$T$192,8,TRUE))</f>
        <v>-3.6071182448360162E-2</v>
      </c>
      <c r="U575" s="109">
        <f>IF(VLOOKUP($D575,Sheet1!$M$5:$U$192,9,TRUE)=0,"",IF(ABS(D575-VLOOKUP($D575,Sheet1!$M$5:$U$192,9,TRUE))&lt;10^-10,"Alt.",D575-VLOOKUP($D575,Sheet1!$M$5:$U$192,9,TRUE)))</f>
        <v>-2.2019015053903246E-2</v>
      </c>
      <c r="V575" s="132">
        <f>$D575-Sheet1!$M$3*$R575</f>
        <v>-8.6524540902733094E-2</v>
      </c>
      <c r="Z575" s="6"/>
      <c r="AA575" s="61"/>
    </row>
    <row r="576" spans="1:27" ht="13.5">
      <c r="A576" s="6" t="s">
        <v>322</v>
      </c>
      <c r="B576" s="6">
        <f>2^10*7^2</f>
        <v>50176</v>
      </c>
      <c r="C576" s="6">
        <f>3^4*5^4</f>
        <v>50625</v>
      </c>
      <c r="D576" s="13">
        <f t="shared" si="12"/>
        <v>15.423045982639021</v>
      </c>
      <c r="E576" s="61">
        <v>7</v>
      </c>
      <c r="F576" s="65">
        <v>47.840368165345005</v>
      </c>
      <c r="G576" s="6">
        <v>165</v>
      </c>
      <c r="H576" s="6">
        <v>153</v>
      </c>
      <c r="I576" s="65">
        <v>3.0503468696332141</v>
      </c>
      <c r="J576" s="6">
        <f>VLOOKUP($D576,Sheet1!$A$5:$C$192,3,TRUE)</f>
        <v>3</v>
      </c>
      <c r="K576" s="42" t="str">
        <f>VLOOKUP($D576,Sheet1!$A$5:$C$192,2,TRUE)</f>
        <v>~|(</v>
      </c>
      <c r="L576" s="6">
        <f>FLOOR(VLOOKUP($D576,Sheet1!$D$5:$F$192,3,TRUE),1)</f>
        <v>7</v>
      </c>
      <c r="M576" s="42" t="str">
        <f>VLOOKUP($D576,Sheet1!$D$5:$F$192,2,TRUE)</f>
        <v>|~</v>
      </c>
      <c r="N576" s="23">
        <f>FLOOR(VLOOKUP($D576,Sheet1!$G$5:$I$192,3,TRUE),1)</f>
        <v>8</v>
      </c>
      <c r="O576" s="42" t="str">
        <f>VLOOKUP($D576,Sheet1!$G$5:$I$192,2,TRUE)</f>
        <v>|~</v>
      </c>
      <c r="P576" s="23">
        <v>1</v>
      </c>
      <c r="Q576" s="43" t="str">
        <f>VLOOKUP($D576,Sheet1!$J$5:$L$192,2,TRUE)</f>
        <v>|~..</v>
      </c>
      <c r="R576" s="23">
        <f>FLOOR(VLOOKUP($D576,Sheet1!$M$5:$O$192,3,TRUE),1)</f>
        <v>32</v>
      </c>
      <c r="S576" s="42" t="str">
        <f>VLOOKUP($D576,Sheet1!$M$5:$O$192,2,TRUE)</f>
        <v>~|(''</v>
      </c>
      <c r="T576" s="117">
        <f>IF(ABS(D576-VLOOKUP($D576,Sheet1!$M$5:$T$192,8,TRUE))&lt;10^-10,"SoCA",D576-VLOOKUP($D576,Sheet1!$M$5:$T$192,8,TRUE))</f>
        <v>-0.13989204880695638</v>
      </c>
      <c r="U576" s="109">
        <f>IF(VLOOKUP($D576,Sheet1!$M$5:$U$192,9,TRUE)=0,"",IF(ABS(D576-VLOOKUP($D576,Sheet1!$M$5:$U$192,9,TRUE))&lt;10^-10,"Alt.",D576-VLOOKUP($D576,Sheet1!$M$5:$U$192,9,TRUE)))</f>
        <v>-0.12583988141249947</v>
      </c>
      <c r="V576" s="132">
        <f>$D576-Sheet1!$M$3*$R576</f>
        <v>-0.19034540726132931</v>
      </c>
      <c r="Z576" s="6"/>
      <c r="AA576" s="61"/>
    </row>
    <row r="577" spans="1:27" ht="13.5">
      <c r="A577" t="s">
        <v>1226</v>
      </c>
      <c r="B577">
        <v>1445</v>
      </c>
      <c r="C577">
        <v>1458</v>
      </c>
      <c r="D577" s="13">
        <f t="shared" si="12"/>
        <v>15.505472326674965</v>
      </c>
      <c r="E577" s="61">
        <v>17</v>
      </c>
      <c r="F577" s="65">
        <v>63.395172824755285</v>
      </c>
      <c r="G577" s="6">
        <v>1134</v>
      </c>
      <c r="H577" s="6">
        <v>1075</v>
      </c>
      <c r="I577" s="65">
        <v>5.0452715793354006</v>
      </c>
      <c r="J577" s="6">
        <f>VLOOKUP($D577,Sheet1!$A$5:$C$192,3,TRUE)</f>
        <v>3</v>
      </c>
      <c r="K577" s="42" t="str">
        <f>VLOOKUP($D577,Sheet1!$A$5:$C$192,2,TRUE)</f>
        <v>~|(</v>
      </c>
      <c r="L577" s="6">
        <f>FLOOR(VLOOKUP($D577,Sheet1!$D$5:$F$192,3,TRUE),1)</f>
        <v>7</v>
      </c>
      <c r="M577" s="42" t="str">
        <f>VLOOKUP($D577,Sheet1!$D$5:$F$192,2,TRUE)</f>
        <v>|~</v>
      </c>
      <c r="N577" s="23">
        <f>FLOOR(VLOOKUP($D577,Sheet1!$G$5:$I$192,3,TRUE),1)</f>
        <v>8</v>
      </c>
      <c r="O577" s="42" t="str">
        <f>VLOOKUP($D577,Sheet1!$G$5:$I$192,2,TRUE)</f>
        <v>|~</v>
      </c>
      <c r="P577" s="23">
        <v>1</v>
      </c>
      <c r="Q577" s="43" t="str">
        <f>VLOOKUP($D577,Sheet1!$J$5:$L$192,2,TRUE)</f>
        <v>|~..</v>
      </c>
      <c r="R577" s="23">
        <f>FLOOR(VLOOKUP($D577,Sheet1!$M$5:$O$192,3,TRUE),1)</f>
        <v>32</v>
      </c>
      <c r="S577" s="42" t="str">
        <f>VLOOKUP($D577,Sheet1!$M$5:$O$192,2,TRUE)</f>
        <v>~|(''</v>
      </c>
      <c r="T577" s="117">
        <f>IF(ABS(D577-VLOOKUP($D577,Sheet1!$M$5:$T$192,8,TRUE))&lt;10^-10,"SoCA",D577-VLOOKUP($D577,Sheet1!$M$5:$T$192,8,TRUE))</f>
        <v>-5.7465704771011872E-2</v>
      </c>
      <c r="U577" s="109">
        <f>IF(VLOOKUP($D577,Sheet1!$M$5:$U$192,9,TRUE)=0,"",IF(ABS(D577-VLOOKUP($D577,Sheet1!$M$5:$U$192,9,TRUE))&lt;10^-10,"Alt.",D577-VLOOKUP($D577,Sheet1!$M$5:$U$192,9,TRUE)))</f>
        <v>-4.3413537376554956E-2</v>
      </c>
      <c r="V577" s="132">
        <f>$D577-Sheet1!$M$3*$R577</f>
        <v>-0.1079190632253848</v>
      </c>
      <c r="Z577" s="6"/>
      <c r="AA577" s="61"/>
    </row>
    <row r="578" spans="1:27" ht="13.5">
      <c r="A578" t="s">
        <v>934</v>
      </c>
      <c r="B578">
        <v>768</v>
      </c>
      <c r="C578">
        <v>775</v>
      </c>
      <c r="D578" s="13">
        <f t="shared" si="12"/>
        <v>15.70799932853234</v>
      </c>
      <c r="E578" s="61">
        <v>31</v>
      </c>
      <c r="F578" s="65">
        <v>65.661399517865163</v>
      </c>
      <c r="G578" s="6">
        <v>843</v>
      </c>
      <c r="H578" s="6">
        <v>782</v>
      </c>
      <c r="I578" s="65">
        <v>-1.9671987460149976</v>
      </c>
      <c r="J578" s="6">
        <f>VLOOKUP($D578,Sheet1!$A$5:$C$192,3,TRUE)</f>
        <v>3</v>
      </c>
      <c r="K578" s="42" t="str">
        <f>VLOOKUP($D578,Sheet1!$A$5:$C$192,2,TRUE)</f>
        <v>~|(</v>
      </c>
      <c r="L578" s="6">
        <f>FLOOR(VLOOKUP($D578,Sheet1!$D$5:$F$192,3,TRUE),1)</f>
        <v>7</v>
      </c>
      <c r="M578" s="42" t="str">
        <f>VLOOKUP($D578,Sheet1!$D$5:$F$192,2,TRUE)</f>
        <v>|~</v>
      </c>
      <c r="N578" s="23">
        <f>FLOOR(VLOOKUP($D578,Sheet1!$G$5:$I$192,3,TRUE),1)</f>
        <v>8</v>
      </c>
      <c r="O578" s="42" t="str">
        <f>VLOOKUP($D578,Sheet1!$G$5:$I$192,2,TRUE)</f>
        <v>|~</v>
      </c>
      <c r="P578" s="23">
        <v>1</v>
      </c>
      <c r="Q578" s="43" t="str">
        <f>VLOOKUP($D578,Sheet1!$J$5:$L$192,2,TRUE)</f>
        <v>|~..</v>
      </c>
      <c r="R578" s="23">
        <f>FLOOR(VLOOKUP($D578,Sheet1!$M$5:$O$192,3,TRUE),1)</f>
        <v>32</v>
      </c>
      <c r="S578" s="42" t="str">
        <f>VLOOKUP($D578,Sheet1!$M$5:$O$192,2,TRUE)</f>
        <v>|~..</v>
      </c>
      <c r="T578" s="117">
        <f>IF(ABS(D578-VLOOKUP($D578,Sheet1!$M$5:$T$192,8,TRUE))&lt;10^-10,"SoCA",D578-VLOOKUP($D578,Sheet1!$M$5:$T$192,8,TRUE))</f>
        <v>-3.8185434568642762E-3</v>
      </c>
      <c r="U578" s="109">
        <f>IF(VLOOKUP($D578,Sheet1!$M$5:$U$192,9,TRUE)=0,"",IF(ABS(D578-VLOOKUP($D578,Sheet1!$M$5:$U$192,9,TRUE))&lt;10^-10,"Alt.",D578-VLOOKUP($D578,Sheet1!$M$5:$U$192,9,TRUE)))</f>
        <v>-1.7870710851321192E-2</v>
      </c>
      <c r="V578" s="132">
        <f>$D578-Sheet1!$M$3*$R578</f>
        <v>9.4607938631989796E-2</v>
      </c>
      <c r="Z578" s="6"/>
      <c r="AA578" s="61"/>
    </row>
    <row r="579" spans="1:27" ht="13.5">
      <c r="A579" t="s">
        <v>824</v>
      </c>
      <c r="B579">
        <v>544</v>
      </c>
      <c r="C579">
        <v>549</v>
      </c>
      <c r="D579" s="13">
        <f t="shared" si="12"/>
        <v>15.839397305831213</v>
      </c>
      <c r="E579" s="61" t="s">
        <v>1931</v>
      </c>
      <c r="F579" s="65">
        <v>78.073040716994839</v>
      </c>
      <c r="G579" s="6">
        <v>697</v>
      </c>
      <c r="H579" s="6">
        <v>671</v>
      </c>
      <c r="I579" s="65">
        <v>1.0247106018138166</v>
      </c>
      <c r="J579" s="6">
        <f>VLOOKUP($D579,Sheet1!$A$5:$C$192,3,TRUE)</f>
        <v>3</v>
      </c>
      <c r="K579" s="42" t="str">
        <f>VLOOKUP($D579,Sheet1!$A$5:$C$192,2,TRUE)</f>
        <v>~|(</v>
      </c>
      <c r="L579" s="6">
        <f>FLOOR(VLOOKUP($D579,Sheet1!$D$5:$F$192,3,TRUE),1)</f>
        <v>7</v>
      </c>
      <c r="M579" s="42" t="str">
        <f>VLOOKUP($D579,Sheet1!$D$5:$F$192,2,TRUE)</f>
        <v>|~</v>
      </c>
      <c r="N579" s="23">
        <f>FLOOR(VLOOKUP($D579,Sheet1!$G$5:$I$192,3,TRUE),1)</f>
        <v>8</v>
      </c>
      <c r="O579" s="42" t="str">
        <f>VLOOKUP($D579,Sheet1!$G$5:$I$192,2,TRUE)</f>
        <v>|~</v>
      </c>
      <c r="P579" s="23">
        <v>1</v>
      </c>
      <c r="Q579" s="43" t="str">
        <f>VLOOKUP($D579,Sheet1!$J$5:$L$192,2,TRUE)</f>
        <v>|~..</v>
      </c>
      <c r="R579" s="23">
        <f>FLOOR(VLOOKUP($D579,Sheet1!$M$5:$O$192,3,TRUE),1)</f>
        <v>32</v>
      </c>
      <c r="S579" s="42" t="str">
        <f>VLOOKUP($D579,Sheet1!$M$5:$O$192,2,TRUE)</f>
        <v>|~..</v>
      </c>
      <c r="T579" s="117">
        <f>IF(ABS(D579-VLOOKUP($D579,Sheet1!$M$5:$T$192,8,TRUE))&lt;10^-10,"SoCA",D579-VLOOKUP($D579,Sheet1!$M$5:$T$192,8,TRUE))</f>
        <v>0.12757943384200843</v>
      </c>
      <c r="U579" s="109">
        <f>IF(VLOOKUP($D579,Sheet1!$M$5:$U$192,9,TRUE)=0,"",IF(ABS(D579-VLOOKUP($D579,Sheet1!$M$5:$U$192,9,TRUE))&lt;10^-10,"Alt.",D579-VLOOKUP($D579,Sheet1!$M$5:$U$192,9,TRUE)))</f>
        <v>0.11352726644755151</v>
      </c>
      <c r="V579" s="132">
        <f>$D579-Sheet1!$M$3*$R579</f>
        <v>0.2260059159308625</v>
      </c>
      <c r="Z579" s="6"/>
      <c r="AA579" s="61"/>
    </row>
    <row r="580" spans="1:27" ht="13.5">
      <c r="A580" t="s">
        <v>576</v>
      </c>
      <c r="B580">
        <v>112</v>
      </c>
      <c r="C580">
        <v>113</v>
      </c>
      <c r="D580" s="13">
        <f t="shared" ref="D580:D643" si="13">1200*LN($C580/$B580)/LN(2)</f>
        <v>15.388848429100268</v>
      </c>
      <c r="E580" s="61" t="s">
        <v>1931</v>
      </c>
      <c r="F580" s="65">
        <v>120.03886052910067</v>
      </c>
      <c r="G580" s="6">
        <v>479</v>
      </c>
      <c r="H580" s="6">
        <v>421</v>
      </c>
      <c r="I580" s="65">
        <v>-0.9475474624069341</v>
      </c>
      <c r="J580" s="6">
        <f>VLOOKUP($D580,Sheet1!$A$5:$C$192,3,TRUE)</f>
        <v>3</v>
      </c>
      <c r="K580" s="42" t="str">
        <f>VLOOKUP($D580,Sheet1!$A$5:$C$192,2,TRUE)</f>
        <v>~|(</v>
      </c>
      <c r="L580" s="6">
        <f>FLOOR(VLOOKUP($D580,Sheet1!$D$5:$F$192,3,TRUE),1)</f>
        <v>7</v>
      </c>
      <c r="M580" s="42" t="str">
        <f>VLOOKUP($D580,Sheet1!$D$5:$F$192,2,TRUE)</f>
        <v>|~</v>
      </c>
      <c r="N580" s="23">
        <f>FLOOR(VLOOKUP($D580,Sheet1!$G$5:$I$192,3,TRUE),1)</f>
        <v>8</v>
      </c>
      <c r="O580" s="42" t="str">
        <f>VLOOKUP($D580,Sheet1!$G$5:$I$192,2,TRUE)</f>
        <v>|~</v>
      </c>
      <c r="P580" s="23">
        <v>1</v>
      </c>
      <c r="Q580" s="43" t="str">
        <f>VLOOKUP($D580,Sheet1!$J$5:$L$192,2,TRUE)</f>
        <v>|~..</v>
      </c>
      <c r="R580" s="23">
        <f>FLOOR(VLOOKUP($D580,Sheet1!$M$5:$O$192,3,TRUE),1)</f>
        <v>32</v>
      </c>
      <c r="S580" s="42" t="str">
        <f>VLOOKUP($D580,Sheet1!$M$5:$O$192,2,TRUE)</f>
        <v>~|(''</v>
      </c>
      <c r="T580" s="117">
        <f>IF(ABS(D580-VLOOKUP($D580,Sheet1!$M$5:$T$192,8,TRUE))&lt;10^-10,"SoCA",D580-VLOOKUP($D580,Sheet1!$M$5:$T$192,8,TRUE))</f>
        <v>-0.17408960234570969</v>
      </c>
      <c r="U580" s="109">
        <f>IF(VLOOKUP($D580,Sheet1!$M$5:$U$192,9,TRUE)=0,"",IF(ABS(D580-VLOOKUP($D580,Sheet1!$M$5:$U$192,9,TRUE))&lt;10^-10,"Alt.",D580-VLOOKUP($D580,Sheet1!$M$5:$U$192,9,TRUE)))</f>
        <v>-0.16003743495125278</v>
      </c>
      <c r="V580" s="132">
        <f>$D580-Sheet1!$M$3*$R580</f>
        <v>-0.22454296080008262</v>
      </c>
      <c r="Z580" s="6"/>
      <c r="AA580" s="61"/>
    </row>
    <row r="581" spans="1:27" ht="13.5">
      <c r="A581" t="s">
        <v>939</v>
      </c>
      <c r="B581">
        <v>776</v>
      </c>
      <c r="C581">
        <v>783</v>
      </c>
      <c r="D581" s="13">
        <f t="shared" si="13"/>
        <v>15.546786124695526</v>
      </c>
      <c r="E581" s="61" t="s">
        <v>1931</v>
      </c>
      <c r="F581" s="65">
        <v>126.16243502976364</v>
      </c>
      <c r="G581" s="6">
        <v>848</v>
      </c>
      <c r="H581" s="6">
        <v>787</v>
      </c>
      <c r="I581" s="65">
        <v>2.0427277382769136</v>
      </c>
      <c r="J581" s="6">
        <f>VLOOKUP($D581,Sheet1!$A$5:$C$192,3,TRUE)</f>
        <v>3</v>
      </c>
      <c r="K581" s="42" t="str">
        <f>VLOOKUP($D581,Sheet1!$A$5:$C$192,2,TRUE)</f>
        <v>~|(</v>
      </c>
      <c r="L581" s="6">
        <f>FLOOR(VLOOKUP($D581,Sheet1!$D$5:$F$192,3,TRUE),1)</f>
        <v>7</v>
      </c>
      <c r="M581" s="42" t="str">
        <f>VLOOKUP($D581,Sheet1!$D$5:$F$192,2,TRUE)</f>
        <v>|~</v>
      </c>
      <c r="N581" s="23">
        <f>FLOOR(VLOOKUP($D581,Sheet1!$G$5:$I$192,3,TRUE),1)</f>
        <v>8</v>
      </c>
      <c r="O581" s="42" t="str">
        <f>VLOOKUP($D581,Sheet1!$G$5:$I$192,2,TRUE)</f>
        <v>|~</v>
      </c>
      <c r="P581" s="23">
        <v>1</v>
      </c>
      <c r="Q581" s="43" t="str">
        <f>VLOOKUP($D581,Sheet1!$J$5:$L$192,2,TRUE)</f>
        <v>|~..</v>
      </c>
      <c r="R581" s="23">
        <f>FLOOR(VLOOKUP($D581,Sheet1!$M$5:$O$192,3,TRUE),1)</f>
        <v>32</v>
      </c>
      <c r="S581" s="42" t="str">
        <f>VLOOKUP($D581,Sheet1!$M$5:$O$192,2,TRUE)</f>
        <v>~|(''</v>
      </c>
      <c r="T581" s="117">
        <f>IF(ABS(D581-VLOOKUP($D581,Sheet1!$M$5:$T$192,8,TRUE))&lt;10^-10,"SoCA",D581-VLOOKUP($D581,Sheet1!$M$5:$T$192,8,TRUE))</f>
        <v>-1.6151906750451417E-2</v>
      </c>
      <c r="U581" s="109">
        <f>IF(VLOOKUP($D581,Sheet1!$M$5:$U$192,9,TRUE)=0,"",IF(ABS(D581-VLOOKUP($D581,Sheet1!$M$5:$U$192,9,TRUE))&lt;10^-10,"Alt.",D581-VLOOKUP($D581,Sheet1!$M$5:$U$192,9,TRUE)))</f>
        <v>-2.099739355994501E-3</v>
      </c>
      <c r="V581" s="132">
        <f>$D581-Sheet1!$M$3*$R581</f>
        <v>-6.6605265204824349E-2</v>
      </c>
      <c r="Z581" s="6"/>
      <c r="AA581" s="61"/>
    </row>
    <row r="582" spans="1:27" ht="13.5">
      <c r="A582" t="s">
        <v>1217</v>
      </c>
      <c r="B582">
        <v>6723</v>
      </c>
      <c r="C582">
        <v>6784</v>
      </c>
      <c r="D582" s="13">
        <f t="shared" si="13"/>
        <v>15.637224397979619</v>
      </c>
      <c r="E582" s="61" t="s">
        <v>1931</v>
      </c>
      <c r="F582" s="65">
        <v>136.64219358109088</v>
      </c>
      <c r="G582" s="6">
        <v>1125</v>
      </c>
      <c r="H582" s="6">
        <v>1066</v>
      </c>
      <c r="I582" s="65">
        <v>-4.9628408756937565</v>
      </c>
      <c r="J582" s="6">
        <f>VLOOKUP($D582,Sheet1!$A$5:$C$192,3,TRUE)</f>
        <v>3</v>
      </c>
      <c r="K582" s="42" t="str">
        <f>VLOOKUP($D582,Sheet1!$A$5:$C$192,2,TRUE)</f>
        <v>~|(</v>
      </c>
      <c r="L582" s="6">
        <f>FLOOR(VLOOKUP($D582,Sheet1!$D$5:$F$192,3,TRUE),1)</f>
        <v>7</v>
      </c>
      <c r="M582" s="42" t="str">
        <f>VLOOKUP($D582,Sheet1!$D$5:$F$192,2,TRUE)</f>
        <v>|~</v>
      </c>
      <c r="N582" s="23">
        <f>FLOOR(VLOOKUP($D582,Sheet1!$G$5:$I$192,3,TRUE),1)</f>
        <v>8</v>
      </c>
      <c r="O582" s="42" t="str">
        <f>VLOOKUP($D582,Sheet1!$G$5:$I$192,2,TRUE)</f>
        <v>|~</v>
      </c>
      <c r="P582" s="23">
        <v>1</v>
      </c>
      <c r="Q582" s="43" t="str">
        <f>VLOOKUP($D582,Sheet1!$J$5:$L$192,2,TRUE)</f>
        <v>|~..</v>
      </c>
      <c r="R582" s="23">
        <f>FLOOR(VLOOKUP($D582,Sheet1!$M$5:$O$192,3,TRUE),1)</f>
        <v>32</v>
      </c>
      <c r="S582" s="42" t="str">
        <f>VLOOKUP($D582,Sheet1!$M$5:$O$192,2,TRUE)</f>
        <v>|~..</v>
      </c>
      <c r="T582" s="117">
        <f>IF(ABS(D582-VLOOKUP($D582,Sheet1!$M$5:$T$192,8,TRUE))&lt;10^-10,"SoCA",D582-VLOOKUP($D582,Sheet1!$M$5:$T$192,8,TRUE))</f>
        <v>-7.4593474009585492E-2</v>
      </c>
      <c r="U582" s="109">
        <f>IF(VLOOKUP($D582,Sheet1!$M$5:$U$192,9,TRUE)=0,"",IF(ABS(D582-VLOOKUP($D582,Sheet1!$M$5:$U$192,9,TRUE))&lt;10^-10,"Alt.",D582-VLOOKUP($D582,Sheet1!$M$5:$U$192,9,TRUE)))</f>
        <v>-8.8645641404042408E-2</v>
      </c>
      <c r="V582" s="132">
        <f>$D582-Sheet1!$M$3*$R582</f>
        <v>2.3833008079268581E-2</v>
      </c>
      <c r="Z582" s="6"/>
      <c r="AA582" s="61"/>
    </row>
    <row r="583" spans="1:27" ht="13.5">
      <c r="A583" t="s">
        <v>1083</v>
      </c>
      <c r="B583">
        <v>32512</v>
      </c>
      <c r="C583">
        <v>32805</v>
      </c>
      <c r="D583" s="13">
        <f t="shared" si="13"/>
        <v>15.532096661335048</v>
      </c>
      <c r="E583" s="61" t="s">
        <v>1931</v>
      </c>
      <c r="F583" s="65">
        <v>137.2481147751285</v>
      </c>
      <c r="G583" s="6">
        <v>850</v>
      </c>
      <c r="H583" s="6">
        <v>932</v>
      </c>
      <c r="I583" s="65">
        <v>7.0436322220526471</v>
      </c>
      <c r="J583" s="6">
        <f>VLOOKUP($D583,Sheet1!$A$5:$C$192,3,TRUE)</f>
        <v>3</v>
      </c>
      <c r="K583" s="42" t="str">
        <f>VLOOKUP($D583,Sheet1!$A$5:$C$192,2,TRUE)</f>
        <v>~|(</v>
      </c>
      <c r="L583" s="6">
        <f>FLOOR(VLOOKUP($D583,Sheet1!$D$5:$F$192,3,TRUE),1)</f>
        <v>7</v>
      </c>
      <c r="M583" s="42" t="str">
        <f>VLOOKUP($D583,Sheet1!$D$5:$F$192,2,TRUE)</f>
        <v>|~</v>
      </c>
      <c r="N583" s="23">
        <f>FLOOR(VLOOKUP($D583,Sheet1!$G$5:$I$192,3,TRUE),1)</f>
        <v>8</v>
      </c>
      <c r="O583" s="42" t="str">
        <f>VLOOKUP($D583,Sheet1!$G$5:$I$192,2,TRUE)</f>
        <v>|~</v>
      </c>
      <c r="P583" s="23">
        <v>1</v>
      </c>
      <c r="Q583" s="43" t="str">
        <f>VLOOKUP($D583,Sheet1!$J$5:$L$192,2,TRUE)</f>
        <v>|~..</v>
      </c>
      <c r="R583" s="23">
        <f>FLOOR(VLOOKUP($D583,Sheet1!$M$5:$O$192,3,TRUE),1)</f>
        <v>32</v>
      </c>
      <c r="S583" s="42" t="str">
        <f>VLOOKUP($D583,Sheet1!$M$5:$O$192,2,TRUE)</f>
        <v>~|(''</v>
      </c>
      <c r="T583" s="117">
        <f>IF(ABS(D583-VLOOKUP($D583,Sheet1!$M$5:$T$192,8,TRUE))&lt;10^-10,"SoCA",D583-VLOOKUP($D583,Sheet1!$M$5:$T$192,8,TRUE))</f>
        <v>-3.0841370110929134E-2</v>
      </c>
      <c r="U583" s="109">
        <f>IF(VLOOKUP($D583,Sheet1!$M$5:$U$192,9,TRUE)=0,"",IF(ABS(D583-VLOOKUP($D583,Sheet1!$M$5:$U$192,9,TRUE))&lt;10^-10,"Alt.",D583-VLOOKUP($D583,Sheet1!$M$5:$U$192,9,TRUE)))</f>
        <v>-1.6789202716472218E-2</v>
      </c>
      <c r="V583" s="132">
        <f>$D583-Sheet1!$M$3*$R583</f>
        <v>-8.1294728565302066E-2</v>
      </c>
      <c r="Z583" s="6"/>
      <c r="AA583" s="61"/>
    </row>
    <row r="584" spans="1:27" ht="13.5">
      <c r="A584" t="s">
        <v>1523</v>
      </c>
      <c r="B584">
        <v>799744</v>
      </c>
      <c r="C584">
        <v>807003</v>
      </c>
      <c r="D584" s="13">
        <f t="shared" si="13"/>
        <v>15.642927559811952</v>
      </c>
      <c r="E584" s="61" t="s">
        <v>1931</v>
      </c>
      <c r="F584" s="65">
        <v>157.93062677183877</v>
      </c>
      <c r="G584" s="6">
        <v>1431</v>
      </c>
      <c r="H584" s="6">
        <v>1372</v>
      </c>
      <c r="I584" s="65">
        <v>8.0368079598544782</v>
      </c>
      <c r="J584" s="6">
        <f>VLOOKUP($D584,Sheet1!$A$5:$C$192,3,TRUE)</f>
        <v>3</v>
      </c>
      <c r="K584" s="42" t="str">
        <f>VLOOKUP($D584,Sheet1!$A$5:$C$192,2,TRUE)</f>
        <v>~|(</v>
      </c>
      <c r="L584" s="6">
        <f>FLOOR(VLOOKUP($D584,Sheet1!$D$5:$F$192,3,TRUE),1)</f>
        <v>7</v>
      </c>
      <c r="M584" s="42" t="str">
        <f>VLOOKUP($D584,Sheet1!$D$5:$F$192,2,TRUE)</f>
        <v>|~</v>
      </c>
      <c r="N584" s="23">
        <f>FLOOR(VLOOKUP($D584,Sheet1!$G$5:$I$192,3,TRUE),1)</f>
        <v>8</v>
      </c>
      <c r="O584" s="42" t="str">
        <f>VLOOKUP($D584,Sheet1!$G$5:$I$192,2,TRUE)</f>
        <v>|~</v>
      </c>
      <c r="P584" s="23">
        <v>1</v>
      </c>
      <c r="Q584" s="43" t="str">
        <f>VLOOKUP($D584,Sheet1!$J$5:$L$192,2,TRUE)</f>
        <v>|~..</v>
      </c>
      <c r="R584" s="23">
        <f>FLOOR(VLOOKUP($D584,Sheet1!$M$5:$O$192,3,TRUE),1)</f>
        <v>32</v>
      </c>
      <c r="S584" s="42" t="str">
        <f>VLOOKUP($D584,Sheet1!$M$5:$O$192,2,TRUE)</f>
        <v>|~..</v>
      </c>
      <c r="T584" s="117">
        <f>IF(ABS(D584-VLOOKUP($D584,Sheet1!$M$5:$T$192,8,TRUE))&lt;10^-10,"SoCA",D584-VLOOKUP($D584,Sheet1!$M$5:$T$192,8,TRUE))</f>
        <v>-6.8890312177252611E-2</v>
      </c>
      <c r="U584" s="109">
        <f>IF(VLOOKUP($D584,Sheet1!$M$5:$U$192,9,TRUE)=0,"",IF(ABS(D584-VLOOKUP($D584,Sheet1!$M$5:$U$192,9,TRUE))&lt;10^-10,"Alt.",D584-VLOOKUP($D584,Sheet1!$M$5:$U$192,9,TRUE)))</f>
        <v>-8.2942479571709526E-2</v>
      </c>
      <c r="V584" s="132">
        <f>$D584-Sheet1!$M$3*$R584</f>
        <v>2.9536169911601462E-2</v>
      </c>
      <c r="Z584" s="6"/>
      <c r="AA584" s="61"/>
    </row>
    <row r="585" spans="1:27" ht="13.5">
      <c r="A585" t="s">
        <v>1730</v>
      </c>
      <c r="B585">
        <v>2224179</v>
      </c>
      <c r="C585">
        <v>2244608</v>
      </c>
      <c r="D585" s="13">
        <f t="shared" si="13"/>
        <v>15.828736865919922</v>
      </c>
      <c r="E585" s="61" t="s">
        <v>1931</v>
      </c>
      <c r="F585" s="65">
        <v>273.18679240242915</v>
      </c>
      <c r="G585" s="6">
        <v>1637</v>
      </c>
      <c r="H585" s="6">
        <v>1579</v>
      </c>
      <c r="I585" s="65">
        <v>-9.9746329960627484</v>
      </c>
      <c r="J585" s="6">
        <f>VLOOKUP($D585,Sheet1!$A$5:$C$192,3,TRUE)</f>
        <v>3</v>
      </c>
      <c r="K585" s="42" t="str">
        <f>VLOOKUP($D585,Sheet1!$A$5:$C$192,2,TRUE)</f>
        <v>~|(</v>
      </c>
      <c r="L585" s="6">
        <f>FLOOR(VLOOKUP($D585,Sheet1!$D$5:$F$192,3,TRUE),1)</f>
        <v>7</v>
      </c>
      <c r="M585" s="42" t="str">
        <f>VLOOKUP($D585,Sheet1!$D$5:$F$192,2,TRUE)</f>
        <v>|~</v>
      </c>
      <c r="N585" s="23">
        <f>FLOOR(VLOOKUP($D585,Sheet1!$G$5:$I$192,3,TRUE),1)</f>
        <v>8</v>
      </c>
      <c r="O585" s="42" t="str">
        <f>VLOOKUP($D585,Sheet1!$G$5:$I$192,2,TRUE)</f>
        <v>|~</v>
      </c>
      <c r="P585" s="23">
        <v>1</v>
      </c>
      <c r="Q585" s="43" t="str">
        <f>VLOOKUP($D585,Sheet1!$J$5:$L$192,2,TRUE)</f>
        <v>|~..</v>
      </c>
      <c r="R585" s="23">
        <f>FLOOR(VLOOKUP($D585,Sheet1!$M$5:$O$192,3,TRUE),1)</f>
        <v>32</v>
      </c>
      <c r="S585" s="42" t="str">
        <f>VLOOKUP($D585,Sheet1!$M$5:$O$192,2,TRUE)</f>
        <v>|~..</v>
      </c>
      <c r="T585" s="117">
        <f>IF(ABS(D585-VLOOKUP($D585,Sheet1!$M$5:$T$192,8,TRUE))&lt;10^-10,"SoCA",D585-VLOOKUP($D585,Sheet1!$M$5:$T$192,8,TRUE))</f>
        <v>0.11691899393071736</v>
      </c>
      <c r="U585" s="109">
        <f>IF(VLOOKUP($D585,Sheet1!$M$5:$U$192,9,TRUE)=0,"",IF(ABS(D585-VLOOKUP($D585,Sheet1!$M$5:$U$192,9,TRUE))&lt;10^-10,"Alt.",D585-VLOOKUP($D585,Sheet1!$M$5:$U$192,9,TRUE)))</f>
        <v>0.10286682653626045</v>
      </c>
      <c r="V585" s="132">
        <f>$D585-Sheet1!$M$3*$R585</f>
        <v>0.21534547601957144</v>
      </c>
      <c r="Z585" s="6"/>
      <c r="AA585" s="61"/>
    </row>
    <row r="586" spans="1:27" ht="13.5">
      <c r="A586" t="s">
        <v>1631</v>
      </c>
      <c r="B586">
        <v>61063061504</v>
      </c>
      <c r="C586">
        <v>61612376139</v>
      </c>
      <c r="D586" s="13">
        <f t="shared" si="13"/>
        <v>15.504302639471041</v>
      </c>
      <c r="E586" s="61" t="s">
        <v>1931</v>
      </c>
      <c r="F586" s="65">
        <v>8497466.4129303228</v>
      </c>
      <c r="G586" s="6">
        <v>1539</v>
      </c>
      <c r="H586" s="6">
        <v>1480</v>
      </c>
      <c r="I586" s="65">
        <v>9.0453436012379491</v>
      </c>
      <c r="J586" s="6">
        <f>VLOOKUP($D586,Sheet1!$A$5:$C$192,3,TRUE)</f>
        <v>3</v>
      </c>
      <c r="K586" s="42" t="str">
        <f>VLOOKUP($D586,Sheet1!$A$5:$C$192,2,TRUE)</f>
        <v>~|(</v>
      </c>
      <c r="L586" s="6">
        <f>FLOOR(VLOOKUP($D586,Sheet1!$D$5:$F$192,3,TRUE),1)</f>
        <v>7</v>
      </c>
      <c r="M586" s="42" t="str">
        <f>VLOOKUP($D586,Sheet1!$D$5:$F$192,2,TRUE)</f>
        <v>|~</v>
      </c>
      <c r="N586" s="23">
        <f>FLOOR(VLOOKUP($D586,Sheet1!$G$5:$I$192,3,TRUE),1)</f>
        <v>8</v>
      </c>
      <c r="O586" s="42" t="str">
        <f>VLOOKUP($D586,Sheet1!$G$5:$I$192,2,TRUE)</f>
        <v>|~</v>
      </c>
      <c r="P586" s="23">
        <v>1</v>
      </c>
      <c r="Q586" s="43" t="str">
        <f>VLOOKUP($D586,Sheet1!$J$5:$L$192,2,TRUE)</f>
        <v>|~..</v>
      </c>
      <c r="R586" s="23">
        <f>FLOOR(VLOOKUP($D586,Sheet1!$M$5:$O$192,3,TRUE),1)</f>
        <v>32</v>
      </c>
      <c r="S586" s="42" t="str">
        <f>VLOOKUP($D586,Sheet1!$M$5:$O$192,2,TRUE)</f>
        <v>~|(''</v>
      </c>
      <c r="T586" s="117">
        <f>IF(ABS(D586-VLOOKUP($D586,Sheet1!$M$5:$T$192,8,TRUE))&lt;10^-10,"SoCA",D586-VLOOKUP($D586,Sheet1!$M$5:$T$192,8,TRUE))</f>
        <v>-5.8635391974936724E-2</v>
      </c>
      <c r="U586" s="109">
        <f>IF(VLOOKUP($D586,Sheet1!$M$5:$U$192,9,TRUE)=0,"",IF(ABS(D586-VLOOKUP($D586,Sheet1!$M$5:$U$192,9,TRUE))&lt;10^-10,"Alt.",D586-VLOOKUP($D586,Sheet1!$M$5:$U$192,9,TRUE)))</f>
        <v>-4.4583224580479808E-2</v>
      </c>
      <c r="V586" s="132">
        <f>$D586-Sheet1!$M$3*$R586</f>
        <v>-0.10908875042930966</v>
      </c>
      <c r="Z586" s="6"/>
      <c r="AA586" s="61"/>
    </row>
    <row r="587" spans="1:27" ht="13.5">
      <c r="A587" s="52" t="s">
        <v>280</v>
      </c>
      <c r="B587" s="52">
        <f>2^18</f>
        <v>262144</v>
      </c>
      <c r="C587" s="52">
        <f>3^7*11^2</f>
        <v>264627</v>
      </c>
      <c r="D587" s="13">
        <f t="shared" si="13"/>
        <v>16.320890787225341</v>
      </c>
      <c r="E587" s="61">
        <v>11</v>
      </c>
      <c r="F587" s="65">
        <v>32.483498423054797</v>
      </c>
      <c r="G587" s="6">
        <v>92</v>
      </c>
      <c r="H587" s="6">
        <v>95</v>
      </c>
      <c r="I587" s="65">
        <v>5.9950632939881228</v>
      </c>
      <c r="J587" s="6">
        <f>VLOOKUP($D587,Sheet1!$A$5:$C$192,3,TRUE)</f>
        <v>3</v>
      </c>
      <c r="K587" s="42" t="str">
        <f>VLOOKUP($D587,Sheet1!$A$5:$C$192,2,TRUE)</f>
        <v>~|(</v>
      </c>
      <c r="L587" s="6">
        <f>FLOOR(VLOOKUP($D587,Sheet1!$D$5:$F$192,3,TRUE),1)</f>
        <v>7</v>
      </c>
      <c r="M587" s="42" t="str">
        <f>VLOOKUP($D587,Sheet1!$D$5:$F$192,2,TRUE)</f>
        <v>|~</v>
      </c>
      <c r="N587" s="23">
        <f>FLOOR(VLOOKUP($D587,Sheet1!$G$5:$I$192,3,TRUE),1)</f>
        <v>8</v>
      </c>
      <c r="O587" s="42" t="str">
        <f>VLOOKUP($D587,Sheet1!$G$5:$I$192,2,TRUE)</f>
        <v>|~</v>
      </c>
      <c r="P587" s="23">
        <v>1</v>
      </c>
      <c r="Q587" s="43" t="str">
        <f>VLOOKUP($D587,Sheet1!$J$5:$L$192,2,TRUE)</f>
        <v>|~.</v>
      </c>
      <c r="R587" s="40">
        <f>FLOOR(VLOOKUP($D587,Sheet1!$M$5:$O$192,3,TRUE),1)</f>
        <v>33</v>
      </c>
      <c r="S587" s="46" t="str">
        <f>VLOOKUP($D587,Sheet1!$M$5:$O$192,2,TRUE)</f>
        <v>'~|(.</v>
      </c>
      <c r="T587" s="115">
        <f>IF(ABS(D587-VLOOKUP($D587,Sheet1!$M$5:$T$192,8,TRUE))&lt;10^-10,"SoCA",D587-VLOOKUP($D587,Sheet1!$M$5:$T$192,8,TRUE))</f>
        <v>5.9472337901627981E-2</v>
      </c>
      <c r="U587" s="115">
        <f>IF(VLOOKUP($D587,Sheet1!$M$5:$U$192,9,TRUE)=0,"",IF(ABS(D587-VLOOKUP($D587,Sheet1!$M$5:$U$192,9,TRUE))&lt;10^-10,"Alt.",D587-VLOOKUP($D587,Sheet1!$M$5:$U$192,9,TRUE)))</f>
        <v>3.2512042699192278E-2</v>
      </c>
      <c r="V587" s="132">
        <f>$D587-Sheet1!$M$3*$R587</f>
        <v>0.21958091639060484</v>
      </c>
      <c r="Z587" s="6"/>
      <c r="AA587" s="61"/>
    </row>
    <row r="588" spans="1:27" ht="13.5">
      <c r="A588" s="87" t="s">
        <v>69</v>
      </c>
      <c r="B588" s="87">
        <f>2^15</f>
        <v>32768</v>
      </c>
      <c r="C588" s="91">
        <f>3^3*5^2*7^2</f>
        <v>33075</v>
      </c>
      <c r="D588" s="13">
        <f t="shared" si="13"/>
        <v>16.144243264081744</v>
      </c>
      <c r="E588" s="61">
        <v>7</v>
      </c>
      <c r="F588" s="65">
        <v>43.308140183384012</v>
      </c>
      <c r="G588" s="6">
        <v>63</v>
      </c>
      <c r="H588" s="6">
        <v>60</v>
      </c>
      <c r="I588" s="65">
        <v>2.0059401255500386</v>
      </c>
      <c r="J588" s="6">
        <f>VLOOKUP($D588,Sheet1!$A$5:$C$192,3,TRUE)</f>
        <v>3</v>
      </c>
      <c r="K588" s="42" t="str">
        <f>VLOOKUP($D588,Sheet1!$A$5:$C$192,2,TRUE)</f>
        <v>~|(</v>
      </c>
      <c r="L588" s="6">
        <f>FLOOR(VLOOKUP($D588,Sheet1!$D$5:$F$192,3,TRUE),1)</f>
        <v>7</v>
      </c>
      <c r="M588" s="42" t="str">
        <f>VLOOKUP($D588,Sheet1!$D$5:$F$192,2,TRUE)</f>
        <v>|~</v>
      </c>
      <c r="N588" s="23">
        <f>FLOOR(VLOOKUP($D588,Sheet1!$G$5:$I$192,3,TRUE),1)</f>
        <v>8</v>
      </c>
      <c r="O588" s="42" t="str">
        <f>VLOOKUP($D588,Sheet1!$G$5:$I$192,2,TRUE)</f>
        <v>|~</v>
      </c>
      <c r="P588" s="23">
        <v>1</v>
      </c>
      <c r="Q588" s="45" t="str">
        <f>VLOOKUP($D588,Sheet1!$J$5:$L$192,2,TRUE)</f>
        <v>|~.</v>
      </c>
      <c r="R588" s="38">
        <f>FLOOR(VLOOKUP($D588,Sheet1!$M$5:$O$192,3,TRUE),1)</f>
        <v>33</v>
      </c>
      <c r="S588" s="45" t="str">
        <f>VLOOKUP($D588,Sheet1!$M$5:$O$192,2,TRUE)</f>
        <v>|~.</v>
      </c>
      <c r="T588" s="108">
        <f>IF(ABS(D588-VLOOKUP($D588,Sheet1!$M$5:$T$192,8,TRUE))&lt;10^-10,"SoCA",D588-VLOOKUP($D588,Sheet1!$M$5:$T$192,8,TRUE))</f>
        <v>2.2617353945765473E-2</v>
      </c>
      <c r="U588" s="108">
        <f>IF(VLOOKUP($D588,Sheet1!$M$5:$U$192,9,TRUE)=0,"",IF(ABS(D588-VLOOKUP($D588,Sheet1!$M$5:$U$192,9,TRUE))&lt;10^-10,"Alt.",D588-VLOOKUP($D588,Sheet1!$M$5:$U$192,9,TRUE)))</f>
        <v>-4.3429412566702297E-3</v>
      </c>
      <c r="V588" s="133">
        <f>$D588-Sheet1!$M$3*$R588</f>
        <v>4.2933393247007956E-2</v>
      </c>
      <c r="Z588" s="6"/>
      <c r="AA588" s="61"/>
    </row>
    <row r="589" spans="1:27" ht="13.5">
      <c r="A589" s="23" t="s">
        <v>399</v>
      </c>
      <c r="B589" s="23">
        <f>2^6*5</f>
        <v>320</v>
      </c>
      <c r="C589" s="23">
        <f>17*19</f>
        <v>323</v>
      </c>
      <c r="D589" s="13">
        <f t="shared" si="13"/>
        <v>16.154711767874915</v>
      </c>
      <c r="E589" s="61">
        <v>19</v>
      </c>
      <c r="F589" s="65">
        <v>49.231090709879901</v>
      </c>
      <c r="G589" s="6">
        <v>266</v>
      </c>
      <c r="H589" s="6">
        <v>236</v>
      </c>
      <c r="I589" s="65">
        <v>-0.99470445836734256</v>
      </c>
      <c r="J589" s="6">
        <f>VLOOKUP($D589,Sheet1!$A$5:$C$192,3,TRUE)</f>
        <v>3</v>
      </c>
      <c r="K589" s="42" t="str">
        <f>VLOOKUP($D589,Sheet1!$A$5:$C$192,2,TRUE)</f>
        <v>~|(</v>
      </c>
      <c r="L589" s="6">
        <f>FLOOR(VLOOKUP($D589,Sheet1!$D$5:$F$192,3,TRUE),1)</f>
        <v>7</v>
      </c>
      <c r="M589" s="42" t="str">
        <f>VLOOKUP($D589,Sheet1!$D$5:$F$192,2,TRUE)</f>
        <v>|~</v>
      </c>
      <c r="N589" s="23">
        <f>FLOOR(VLOOKUP($D589,Sheet1!$G$5:$I$192,3,TRUE),1)</f>
        <v>8</v>
      </c>
      <c r="O589" s="42" t="str">
        <f>VLOOKUP($D589,Sheet1!$G$5:$I$192,2,TRUE)</f>
        <v>|~</v>
      </c>
      <c r="P589" s="23">
        <v>1</v>
      </c>
      <c r="Q589" s="43" t="str">
        <f>VLOOKUP($D589,Sheet1!$J$5:$L$192,2,TRUE)</f>
        <v>|~.</v>
      </c>
      <c r="R589" s="23">
        <f>FLOOR(VLOOKUP($D589,Sheet1!$M$5:$O$192,3,TRUE),1)</f>
        <v>33</v>
      </c>
      <c r="S589" s="43" t="str">
        <f>VLOOKUP($D589,Sheet1!$M$5:$O$192,2,TRUE)</f>
        <v>|~.</v>
      </c>
      <c r="T589" s="117">
        <f>IF(ABS(D589-VLOOKUP($D589,Sheet1!$M$5:$T$192,8,TRUE))&lt;10^-10,"SoCA",D589-VLOOKUP($D589,Sheet1!$M$5:$T$192,8,TRUE))</f>
        <v>3.3085857738935687E-2</v>
      </c>
      <c r="U589" s="117">
        <f>IF(VLOOKUP($D589,Sheet1!$M$5:$U$192,9,TRUE)=0,"",IF(ABS(D589-VLOOKUP($D589,Sheet1!$M$5:$U$192,9,TRUE))&lt;10^-10,"Alt.",D589-VLOOKUP($D589,Sheet1!$M$5:$U$192,9,TRUE)))</f>
        <v>6.1255625364999844E-3</v>
      </c>
      <c r="V589" s="132">
        <f>$D589-Sheet1!$M$3*$R589</f>
        <v>5.340189704017817E-2</v>
      </c>
      <c r="Z589" s="6"/>
      <c r="AA589" s="61"/>
    </row>
    <row r="590" spans="1:27" ht="13.5">
      <c r="A590" s="6" t="s">
        <v>474</v>
      </c>
      <c r="B590" s="6">
        <f>3^7*5^2*19</f>
        <v>1038825</v>
      </c>
      <c r="C590" s="6">
        <f>2^20</f>
        <v>1048576</v>
      </c>
      <c r="D590" s="13">
        <f t="shared" si="13"/>
        <v>16.174550080315985</v>
      </c>
      <c r="E590" s="61">
        <v>19</v>
      </c>
      <c r="F590" s="65">
        <v>50.035446152608962</v>
      </c>
      <c r="G590" s="6">
        <v>290</v>
      </c>
      <c r="H590" s="6">
        <v>312</v>
      </c>
      <c r="I590" s="65">
        <v>-7.9959259755392464</v>
      </c>
      <c r="J590" s="6">
        <f>VLOOKUP($D590,Sheet1!$A$5:$C$192,3,TRUE)</f>
        <v>3</v>
      </c>
      <c r="K590" s="42" t="str">
        <f>VLOOKUP($D590,Sheet1!$A$5:$C$192,2,TRUE)</f>
        <v>~|(</v>
      </c>
      <c r="L590" s="6">
        <f>FLOOR(VLOOKUP($D590,Sheet1!$D$5:$F$192,3,TRUE),1)</f>
        <v>7</v>
      </c>
      <c r="M590" s="42" t="str">
        <f>VLOOKUP($D590,Sheet1!$D$5:$F$192,2,TRUE)</f>
        <v>|~</v>
      </c>
      <c r="N590" s="23">
        <f>FLOOR(VLOOKUP($D590,Sheet1!$G$5:$I$192,3,TRUE),1)</f>
        <v>8</v>
      </c>
      <c r="O590" s="42" t="str">
        <f>VLOOKUP($D590,Sheet1!$G$5:$I$192,2,TRUE)</f>
        <v>|~</v>
      </c>
      <c r="P590" s="23">
        <v>1</v>
      </c>
      <c r="Q590" s="43" t="str">
        <f>VLOOKUP($D590,Sheet1!$J$5:$L$192,2,TRUE)</f>
        <v>|~.</v>
      </c>
      <c r="R590" s="23">
        <f>FLOOR(VLOOKUP($D590,Sheet1!$M$5:$O$192,3,TRUE),1)</f>
        <v>33</v>
      </c>
      <c r="S590" s="42" t="str">
        <f>VLOOKUP($D590,Sheet1!$M$5:$O$192,2,TRUE)</f>
        <v>|~.</v>
      </c>
      <c r="T590" s="117">
        <f>IF(ABS(D590-VLOOKUP($D590,Sheet1!$M$5:$T$192,8,TRUE))&lt;10^-10,"SoCA",D590-VLOOKUP($D590,Sheet1!$M$5:$T$192,8,TRUE))</f>
        <v>5.2924170180006058E-2</v>
      </c>
      <c r="U590" s="109">
        <f>IF(VLOOKUP($D590,Sheet1!$M$5:$U$192,9,TRUE)=0,"",IF(ABS(D590-VLOOKUP($D590,Sheet1!$M$5:$U$192,9,TRUE))&lt;10^-10,"Alt.",D590-VLOOKUP($D590,Sheet1!$M$5:$U$192,9,TRUE)))</f>
        <v>2.5963874977570356E-2</v>
      </c>
      <c r="V590" s="132">
        <f>$D590-Sheet1!$M$3*$R590</f>
        <v>7.3240209481248542E-2</v>
      </c>
      <c r="Z590" s="6"/>
      <c r="AA590" s="61"/>
    </row>
    <row r="591" spans="1:27" ht="13.5">
      <c r="A591" t="s">
        <v>937</v>
      </c>
      <c r="B591">
        <v>3344</v>
      </c>
      <c r="C591">
        <v>3375</v>
      </c>
      <c r="D591" s="13">
        <f t="shared" si="13"/>
        <v>15.975185693607477</v>
      </c>
      <c r="E591" s="61">
        <v>19</v>
      </c>
      <c r="F591" s="65">
        <v>54.128100387132953</v>
      </c>
      <c r="G591" s="6">
        <v>846</v>
      </c>
      <c r="H591" s="6">
        <v>785</v>
      </c>
      <c r="I591" s="65">
        <v>2.0163496160744012</v>
      </c>
      <c r="J591" s="6">
        <f>VLOOKUP($D591,Sheet1!$A$5:$C$192,3,TRUE)</f>
        <v>3</v>
      </c>
      <c r="K591" s="42" t="str">
        <f>VLOOKUP($D591,Sheet1!$A$5:$C$192,2,TRUE)</f>
        <v>~|(</v>
      </c>
      <c r="L591" s="6">
        <f>FLOOR(VLOOKUP($D591,Sheet1!$D$5:$F$192,3,TRUE),1)</f>
        <v>7</v>
      </c>
      <c r="M591" s="42" t="str">
        <f>VLOOKUP($D591,Sheet1!$D$5:$F$192,2,TRUE)</f>
        <v>|~</v>
      </c>
      <c r="N591" s="23">
        <f>FLOOR(VLOOKUP($D591,Sheet1!$G$5:$I$192,3,TRUE),1)</f>
        <v>8</v>
      </c>
      <c r="O591" s="42" t="str">
        <f>VLOOKUP($D591,Sheet1!$G$5:$I$192,2,TRUE)</f>
        <v>|~</v>
      </c>
      <c r="P591" s="23">
        <v>1</v>
      </c>
      <c r="Q591" s="43" t="str">
        <f>VLOOKUP($D591,Sheet1!$J$5:$L$192,2,TRUE)</f>
        <v>|~.</v>
      </c>
      <c r="R591" s="23">
        <f>FLOOR(VLOOKUP($D591,Sheet1!$M$5:$O$192,3,TRUE),1)</f>
        <v>33</v>
      </c>
      <c r="S591" s="42" t="str">
        <f>VLOOKUP($D591,Sheet1!$M$5:$O$192,2,TRUE)</f>
        <v>|~.</v>
      </c>
      <c r="T591" s="117">
        <f>IF(ABS(D591-VLOOKUP($D591,Sheet1!$M$5:$T$192,8,TRUE))&lt;10^-10,"SoCA",D591-VLOOKUP($D591,Sheet1!$M$5:$T$192,8,TRUE))</f>
        <v>-0.14644021652850192</v>
      </c>
      <c r="U591" s="109">
        <f>IF(VLOOKUP($D591,Sheet1!$M$5:$U$192,9,TRUE)=0,"",IF(ABS(D591-VLOOKUP($D591,Sheet1!$M$5:$U$192,9,TRUE))&lt;10^-10,"Alt.",D591-VLOOKUP($D591,Sheet1!$M$5:$U$192,9,TRUE)))</f>
        <v>-0.17340051173093762</v>
      </c>
      <c r="V591" s="132">
        <f>$D591-Sheet1!$M$3*$R591</f>
        <v>-0.12612417722725944</v>
      </c>
      <c r="Z591" s="6"/>
      <c r="AA591" s="61"/>
    </row>
    <row r="592" spans="1:27" ht="13.5">
      <c r="A592" t="s">
        <v>1414</v>
      </c>
      <c r="B592">
        <v>4063232</v>
      </c>
      <c r="C592">
        <v>4100625</v>
      </c>
      <c r="D592" s="13">
        <f t="shared" si="13"/>
        <v>15.859289918188278</v>
      </c>
      <c r="E592" s="61">
        <v>31</v>
      </c>
      <c r="F592" s="65">
        <v>85.834168617383128</v>
      </c>
      <c r="G592" s="6">
        <v>1331</v>
      </c>
      <c r="H592" s="6">
        <v>1263</v>
      </c>
      <c r="I592" s="65">
        <v>7.0234857411982592</v>
      </c>
      <c r="J592" s="6">
        <f>VLOOKUP($D592,Sheet1!$A$5:$C$192,3,TRUE)</f>
        <v>3</v>
      </c>
      <c r="K592" s="42" t="str">
        <f>VLOOKUP($D592,Sheet1!$A$5:$C$192,2,TRUE)</f>
        <v>~|(</v>
      </c>
      <c r="L592" s="6">
        <f>FLOOR(VLOOKUP($D592,Sheet1!$D$5:$F$192,3,TRUE),1)</f>
        <v>7</v>
      </c>
      <c r="M592" s="42" t="str">
        <f>VLOOKUP($D592,Sheet1!$D$5:$F$192,2,TRUE)</f>
        <v>|~</v>
      </c>
      <c r="N592" s="23">
        <f>FLOOR(VLOOKUP($D592,Sheet1!$G$5:$I$192,3,TRUE),1)</f>
        <v>8</v>
      </c>
      <c r="O592" s="42" t="str">
        <f>VLOOKUP($D592,Sheet1!$G$5:$I$192,2,TRUE)</f>
        <v>|~</v>
      </c>
      <c r="P592" s="23">
        <v>1</v>
      </c>
      <c r="Q592" s="43" t="str">
        <f>VLOOKUP($D592,Sheet1!$J$5:$L$192,2,TRUE)</f>
        <v>|~.</v>
      </c>
      <c r="R592" s="23">
        <f>FLOOR(VLOOKUP($D592,Sheet1!$M$5:$O$192,3,TRUE),1)</f>
        <v>33</v>
      </c>
      <c r="S592" s="42" t="str">
        <f>VLOOKUP($D592,Sheet1!$M$5:$O$192,2,TRUE)</f>
        <v>|~.</v>
      </c>
      <c r="T592" s="117">
        <f>IF(ABS(D592-VLOOKUP($D592,Sheet1!$M$5:$T$192,8,TRUE))&lt;10^-10,"SoCA",D592-VLOOKUP($D592,Sheet1!$M$5:$T$192,8,TRUE))</f>
        <v>-0.26233599194770107</v>
      </c>
      <c r="U592" s="109">
        <f>IF(VLOOKUP($D592,Sheet1!$M$5:$U$192,9,TRUE)=0,"",IF(ABS(D592-VLOOKUP($D592,Sheet1!$M$5:$U$192,9,TRUE))&lt;10^-10,"Alt.",D592-VLOOKUP($D592,Sheet1!$M$5:$U$192,9,TRUE)))</f>
        <v>-0.28929628715013678</v>
      </c>
      <c r="V592" s="132">
        <f>$D592-Sheet1!$M$3*$R592</f>
        <v>-0.24201995264645859</v>
      </c>
      <c r="Z592" s="6"/>
      <c r="AA592" s="61"/>
    </row>
    <row r="593" spans="1:27" ht="13.5">
      <c r="A593" t="s">
        <v>1731</v>
      </c>
      <c r="B593">
        <v>98415</v>
      </c>
      <c r="C593">
        <v>99328</v>
      </c>
      <c r="D593" s="13">
        <f t="shared" si="13"/>
        <v>15.986688971231819</v>
      </c>
      <c r="E593" s="61" t="s">
        <v>1931</v>
      </c>
      <c r="F593" s="65">
        <v>121.5628305420847</v>
      </c>
      <c r="G593" s="6">
        <v>1639</v>
      </c>
      <c r="H593" s="6">
        <v>1580</v>
      </c>
      <c r="I593" s="65">
        <v>-9.9843586826376516</v>
      </c>
      <c r="J593" s="6">
        <f>VLOOKUP($D593,Sheet1!$A$5:$C$192,3,TRUE)</f>
        <v>3</v>
      </c>
      <c r="K593" s="42" t="str">
        <f>VLOOKUP($D593,Sheet1!$A$5:$C$192,2,TRUE)</f>
        <v>~|(</v>
      </c>
      <c r="L593" s="6">
        <f>FLOOR(VLOOKUP($D593,Sheet1!$D$5:$F$192,3,TRUE),1)</f>
        <v>7</v>
      </c>
      <c r="M593" s="42" t="str">
        <f>VLOOKUP($D593,Sheet1!$D$5:$F$192,2,TRUE)</f>
        <v>|~</v>
      </c>
      <c r="N593" s="23">
        <f>FLOOR(VLOOKUP($D593,Sheet1!$G$5:$I$192,3,TRUE),1)</f>
        <v>8</v>
      </c>
      <c r="O593" s="42" t="str">
        <f>VLOOKUP($D593,Sheet1!$G$5:$I$192,2,TRUE)</f>
        <v>|~</v>
      </c>
      <c r="P593" s="23">
        <v>1</v>
      </c>
      <c r="Q593" s="43" t="str">
        <f>VLOOKUP($D593,Sheet1!$J$5:$L$192,2,TRUE)</f>
        <v>|~.</v>
      </c>
      <c r="R593" s="23">
        <f>FLOOR(VLOOKUP($D593,Sheet1!$M$5:$O$192,3,TRUE),1)</f>
        <v>33</v>
      </c>
      <c r="S593" s="42" t="str">
        <f>VLOOKUP($D593,Sheet1!$M$5:$O$192,2,TRUE)</f>
        <v>|~.</v>
      </c>
      <c r="T593" s="117">
        <f>IF(ABS(D593-VLOOKUP($D593,Sheet1!$M$5:$T$192,8,TRUE))&lt;10^-10,"SoCA",D593-VLOOKUP($D593,Sheet1!$M$5:$T$192,8,TRUE))</f>
        <v>-0.13493693890415948</v>
      </c>
      <c r="U593" s="109">
        <f>IF(VLOOKUP($D593,Sheet1!$M$5:$U$192,9,TRUE)=0,"",IF(ABS(D593-VLOOKUP($D593,Sheet1!$M$5:$U$192,9,TRUE))&lt;10^-10,"Alt.",D593-VLOOKUP($D593,Sheet1!$M$5:$U$192,9,TRUE)))</f>
        <v>-0.16189723410659518</v>
      </c>
      <c r="V593" s="132">
        <f>$D593-Sheet1!$M$3*$R593</f>
        <v>-0.11462089960291699</v>
      </c>
      <c r="Z593" s="6"/>
      <c r="AA593" s="61"/>
    </row>
    <row r="594" spans="1:27" ht="13.5">
      <c r="A594" t="s">
        <v>1024</v>
      </c>
      <c r="B594">
        <v>531</v>
      </c>
      <c r="C594">
        <v>536</v>
      </c>
      <c r="D594" s="13">
        <f t="shared" si="13"/>
        <v>16.225367584342742</v>
      </c>
      <c r="E594" s="61" t="s">
        <v>1931</v>
      </c>
      <c r="F594" s="65">
        <v>126.16075339535431</v>
      </c>
      <c r="G594" s="6">
        <v>943</v>
      </c>
      <c r="H594" s="6">
        <v>872</v>
      </c>
      <c r="I594" s="65">
        <v>-2.9990549944004208</v>
      </c>
      <c r="J594" s="6">
        <f>VLOOKUP($D594,Sheet1!$A$5:$C$192,3,TRUE)</f>
        <v>3</v>
      </c>
      <c r="K594" s="42" t="str">
        <f>VLOOKUP($D594,Sheet1!$A$5:$C$192,2,TRUE)</f>
        <v>~|(</v>
      </c>
      <c r="L594" s="6">
        <f>FLOOR(VLOOKUP($D594,Sheet1!$D$5:$F$192,3,TRUE),1)</f>
        <v>7</v>
      </c>
      <c r="M594" s="42" t="str">
        <f>VLOOKUP($D594,Sheet1!$D$5:$F$192,2,TRUE)</f>
        <v>|~</v>
      </c>
      <c r="N594" s="23">
        <f>FLOOR(VLOOKUP($D594,Sheet1!$G$5:$I$192,3,TRUE),1)</f>
        <v>8</v>
      </c>
      <c r="O594" s="42" t="str">
        <f>VLOOKUP($D594,Sheet1!$G$5:$I$192,2,TRUE)</f>
        <v>|~</v>
      </c>
      <c r="P594" s="23">
        <v>1</v>
      </c>
      <c r="Q594" s="43" t="str">
        <f>VLOOKUP($D594,Sheet1!$J$5:$L$192,2,TRUE)</f>
        <v>|~.</v>
      </c>
      <c r="R594" s="23">
        <f>FLOOR(VLOOKUP($D594,Sheet1!$M$5:$O$192,3,TRUE),1)</f>
        <v>33</v>
      </c>
      <c r="S594" s="42" t="str">
        <f>VLOOKUP($D594,Sheet1!$M$5:$O$192,2,TRUE)</f>
        <v>|~.</v>
      </c>
      <c r="T594" s="117">
        <f>IF(ABS(D594-VLOOKUP($D594,Sheet1!$M$5:$T$192,8,TRUE))&lt;10^-10,"SoCA",D594-VLOOKUP($D594,Sheet1!$M$5:$T$192,8,TRUE))</f>
        <v>0.10374167420676272</v>
      </c>
      <c r="U594" s="109">
        <f>IF(VLOOKUP($D594,Sheet1!$M$5:$U$192,9,TRUE)=0,"",IF(ABS(D594-VLOOKUP($D594,Sheet1!$M$5:$U$192,9,TRUE))&lt;10^-10,"Alt.",D594-VLOOKUP($D594,Sheet1!$M$5:$U$192,9,TRUE)))</f>
        <v>7.6781379004327022E-2</v>
      </c>
      <c r="V594" s="132">
        <f>$D594-Sheet1!$M$3*$R594</f>
        <v>0.12405771350800521</v>
      </c>
      <c r="Z594" s="6"/>
      <c r="AA594" s="61"/>
    </row>
    <row r="595" spans="1:27" ht="13.5">
      <c r="A595" t="s">
        <v>505</v>
      </c>
      <c r="B595">
        <v>108</v>
      </c>
      <c r="C595">
        <v>109</v>
      </c>
      <c r="D595" s="13">
        <f t="shared" si="13"/>
        <v>15.956187136149447</v>
      </c>
      <c r="E595" s="61" t="s">
        <v>1931</v>
      </c>
      <c r="F595" s="65">
        <v>131.10968849757276</v>
      </c>
      <c r="G595" s="6">
        <v>369</v>
      </c>
      <c r="H595" s="6">
        <v>346</v>
      </c>
      <c r="I595" s="65">
        <v>-3.9824805735273943</v>
      </c>
      <c r="J595" s="6">
        <f>VLOOKUP($D595,Sheet1!$A$5:$C$192,3,TRUE)</f>
        <v>3</v>
      </c>
      <c r="K595" s="42" t="str">
        <f>VLOOKUP($D595,Sheet1!$A$5:$C$192,2,TRUE)</f>
        <v>~|(</v>
      </c>
      <c r="L595" s="6">
        <f>FLOOR(VLOOKUP($D595,Sheet1!$D$5:$F$192,3,TRUE),1)</f>
        <v>7</v>
      </c>
      <c r="M595" s="42" t="str">
        <f>VLOOKUP($D595,Sheet1!$D$5:$F$192,2,TRUE)</f>
        <v>|~</v>
      </c>
      <c r="N595" s="23">
        <f>FLOOR(VLOOKUP($D595,Sheet1!$G$5:$I$192,3,TRUE),1)</f>
        <v>8</v>
      </c>
      <c r="O595" s="42" t="str">
        <f>VLOOKUP($D595,Sheet1!$G$5:$I$192,2,TRUE)</f>
        <v>|~</v>
      </c>
      <c r="P595" s="23">
        <v>1</v>
      </c>
      <c r="Q595" s="43" t="str">
        <f>VLOOKUP($D595,Sheet1!$J$5:$L$192,2,TRUE)</f>
        <v>|~.</v>
      </c>
      <c r="R595" s="23">
        <f>FLOOR(VLOOKUP($D595,Sheet1!$M$5:$O$192,3,TRUE),1)</f>
        <v>33</v>
      </c>
      <c r="S595" s="42" t="str">
        <f>VLOOKUP($D595,Sheet1!$M$5:$O$192,2,TRUE)</f>
        <v>|~.</v>
      </c>
      <c r="T595" s="117">
        <f>IF(ABS(D595-VLOOKUP($D595,Sheet1!$M$5:$T$192,8,TRUE))&lt;10^-10,"SoCA",D595-VLOOKUP($D595,Sheet1!$M$5:$T$192,8,TRUE))</f>
        <v>-0.16543877398653173</v>
      </c>
      <c r="U595" s="109">
        <f>IF(VLOOKUP($D595,Sheet1!$M$5:$U$192,9,TRUE)=0,"",IF(ABS(D595-VLOOKUP($D595,Sheet1!$M$5:$U$192,9,TRUE))&lt;10^-10,"Alt.",D595-VLOOKUP($D595,Sheet1!$M$5:$U$192,9,TRUE)))</f>
        <v>-0.19239906918896743</v>
      </c>
      <c r="V595" s="132">
        <f>$D595-Sheet1!$M$3*$R595</f>
        <v>-0.14512273468528925</v>
      </c>
      <c r="Z595" s="6"/>
      <c r="AA595" s="61"/>
    </row>
    <row r="596" spans="1:27" ht="13.5">
      <c r="A596" t="s">
        <v>1677</v>
      </c>
      <c r="B596">
        <v>10354688</v>
      </c>
      <c r="C596">
        <v>10451673</v>
      </c>
      <c r="D596" s="13">
        <f t="shared" si="13"/>
        <v>16.139770940947486</v>
      </c>
      <c r="E596" s="61" t="s">
        <v>1931</v>
      </c>
      <c r="F596" s="65">
        <v>179.99157315844539</v>
      </c>
      <c r="G596" s="6">
        <v>1427</v>
      </c>
      <c r="H596" s="6">
        <v>1526</v>
      </c>
      <c r="I596" s="65">
        <v>10.006215502778975</v>
      </c>
      <c r="J596" s="6">
        <f>VLOOKUP($D596,Sheet1!$A$5:$C$192,3,TRUE)</f>
        <v>3</v>
      </c>
      <c r="K596" s="42" t="str">
        <f>VLOOKUP($D596,Sheet1!$A$5:$C$192,2,TRUE)</f>
        <v>~|(</v>
      </c>
      <c r="L596" s="6">
        <f>FLOOR(VLOOKUP($D596,Sheet1!$D$5:$F$192,3,TRUE),1)</f>
        <v>7</v>
      </c>
      <c r="M596" s="42" t="str">
        <f>VLOOKUP($D596,Sheet1!$D$5:$F$192,2,TRUE)</f>
        <v>|~</v>
      </c>
      <c r="N596" s="23">
        <f>FLOOR(VLOOKUP($D596,Sheet1!$G$5:$I$192,3,TRUE),1)</f>
        <v>8</v>
      </c>
      <c r="O596" s="42" t="str">
        <f>VLOOKUP($D596,Sheet1!$G$5:$I$192,2,TRUE)</f>
        <v>|~</v>
      </c>
      <c r="P596" s="23">
        <v>1</v>
      </c>
      <c r="Q596" s="43" t="str">
        <f>VLOOKUP($D596,Sheet1!$J$5:$L$192,2,TRUE)</f>
        <v>|~.</v>
      </c>
      <c r="R596" s="23">
        <f>FLOOR(VLOOKUP($D596,Sheet1!$M$5:$O$192,3,TRUE),1)</f>
        <v>33</v>
      </c>
      <c r="S596" s="42" t="str">
        <f>VLOOKUP($D596,Sheet1!$M$5:$O$192,2,TRUE)</f>
        <v>|~.</v>
      </c>
      <c r="T596" s="117">
        <f>IF(ABS(D596-VLOOKUP($D596,Sheet1!$M$5:$T$192,8,TRUE))&lt;10^-10,"SoCA",D596-VLOOKUP($D596,Sheet1!$M$5:$T$192,8,TRUE))</f>
        <v>1.8145030811506757E-2</v>
      </c>
      <c r="U596" s="109">
        <f>IF(VLOOKUP($D596,Sheet1!$M$5:$U$192,9,TRUE)=0,"",IF(ABS(D596-VLOOKUP($D596,Sheet1!$M$5:$U$192,9,TRUE))&lt;10^-10,"Alt.",D596-VLOOKUP($D596,Sheet1!$M$5:$U$192,9,TRUE)))</f>
        <v>-8.8152643909289452E-3</v>
      </c>
      <c r="V596" s="132">
        <f>$D596-Sheet1!$M$3*$R596</f>
        <v>3.846107011274924E-2</v>
      </c>
      <c r="Z596" s="6"/>
      <c r="AA596" s="61"/>
    </row>
    <row r="597" spans="1:27" ht="13.5">
      <c r="A597" t="s">
        <v>822</v>
      </c>
      <c r="B597">
        <v>1168</v>
      </c>
      <c r="C597">
        <v>1179</v>
      </c>
      <c r="D597" s="13">
        <f t="shared" si="13"/>
        <v>16.228132919694417</v>
      </c>
      <c r="E597" s="61" t="s">
        <v>1931</v>
      </c>
      <c r="F597" s="65">
        <v>204.08831371677329</v>
      </c>
      <c r="G597" s="6">
        <v>696</v>
      </c>
      <c r="H597" s="6">
        <v>669</v>
      </c>
      <c r="I597" s="65">
        <v>1.0007747338273114</v>
      </c>
      <c r="J597" s="6">
        <f>VLOOKUP($D597,Sheet1!$A$5:$C$192,3,TRUE)</f>
        <v>3</v>
      </c>
      <c r="K597" s="42" t="str">
        <f>VLOOKUP($D597,Sheet1!$A$5:$C$192,2,TRUE)</f>
        <v>~|(</v>
      </c>
      <c r="L597" s="6">
        <f>FLOOR(VLOOKUP($D597,Sheet1!$D$5:$F$192,3,TRUE),1)</f>
        <v>7</v>
      </c>
      <c r="M597" s="42" t="str">
        <f>VLOOKUP($D597,Sheet1!$D$5:$F$192,2,TRUE)</f>
        <v>|~</v>
      </c>
      <c r="N597" s="23">
        <f>FLOOR(VLOOKUP($D597,Sheet1!$G$5:$I$192,3,TRUE),1)</f>
        <v>8</v>
      </c>
      <c r="O597" s="42" t="str">
        <f>VLOOKUP($D597,Sheet1!$G$5:$I$192,2,TRUE)</f>
        <v>|~</v>
      </c>
      <c r="P597" s="23">
        <v>1</v>
      </c>
      <c r="Q597" s="43" t="str">
        <f>VLOOKUP($D597,Sheet1!$J$5:$L$192,2,TRUE)</f>
        <v>|~.</v>
      </c>
      <c r="R597" s="23">
        <f>FLOOR(VLOOKUP($D597,Sheet1!$M$5:$O$192,3,TRUE),1)</f>
        <v>33</v>
      </c>
      <c r="S597" s="42" t="str">
        <f>VLOOKUP($D597,Sheet1!$M$5:$O$192,2,TRUE)</f>
        <v>|~.</v>
      </c>
      <c r="T597" s="117">
        <f>IF(ABS(D597-VLOOKUP($D597,Sheet1!$M$5:$T$192,8,TRUE))&lt;10^-10,"SoCA",D597-VLOOKUP($D597,Sheet1!$M$5:$T$192,8,TRUE))</f>
        <v>0.10650700955843817</v>
      </c>
      <c r="U597" s="109">
        <f>IF(VLOOKUP($D597,Sheet1!$M$5:$U$192,9,TRUE)=0,"",IF(ABS(D597-VLOOKUP($D597,Sheet1!$M$5:$U$192,9,TRUE))&lt;10^-10,"Alt.",D597-VLOOKUP($D597,Sheet1!$M$5:$U$192,9,TRUE)))</f>
        <v>7.9546714356002468E-2</v>
      </c>
      <c r="V597" s="132">
        <f>$D597-Sheet1!$M$3*$R597</f>
        <v>0.12682304885968065</v>
      </c>
      <c r="Z597" s="6"/>
      <c r="AA597" s="61"/>
    </row>
    <row r="598" spans="1:27" ht="13.5">
      <c r="A598" t="s">
        <v>1627</v>
      </c>
      <c r="B598">
        <v>8716288</v>
      </c>
      <c r="C598">
        <v>8798301</v>
      </c>
      <c r="D598" s="13">
        <f t="shared" si="13"/>
        <v>16.213310607040679</v>
      </c>
      <c r="E598" s="61" t="s">
        <v>1931</v>
      </c>
      <c r="F598" s="65">
        <v>231.96911025994956</v>
      </c>
      <c r="G598" s="6">
        <v>1535</v>
      </c>
      <c r="H598" s="6">
        <v>1476</v>
      </c>
      <c r="I598" s="65">
        <v>9.0016873976180278</v>
      </c>
      <c r="J598" s="6">
        <f>VLOOKUP($D598,Sheet1!$A$5:$C$192,3,TRUE)</f>
        <v>3</v>
      </c>
      <c r="K598" s="42" t="str">
        <f>VLOOKUP($D598,Sheet1!$A$5:$C$192,2,TRUE)</f>
        <v>~|(</v>
      </c>
      <c r="L598" s="6">
        <f>FLOOR(VLOOKUP($D598,Sheet1!$D$5:$F$192,3,TRUE),1)</f>
        <v>7</v>
      </c>
      <c r="M598" s="42" t="str">
        <f>VLOOKUP($D598,Sheet1!$D$5:$F$192,2,TRUE)</f>
        <v>|~</v>
      </c>
      <c r="N598" s="23">
        <f>FLOOR(VLOOKUP($D598,Sheet1!$G$5:$I$192,3,TRUE),1)</f>
        <v>8</v>
      </c>
      <c r="O598" s="42" t="str">
        <f>VLOOKUP($D598,Sheet1!$G$5:$I$192,2,TRUE)</f>
        <v>|~</v>
      </c>
      <c r="P598" s="23">
        <v>1</v>
      </c>
      <c r="Q598" s="43" t="str">
        <f>VLOOKUP($D598,Sheet1!$J$5:$L$192,2,TRUE)</f>
        <v>|~.</v>
      </c>
      <c r="R598" s="23">
        <f>FLOOR(VLOOKUP($D598,Sheet1!$M$5:$O$192,3,TRUE),1)</f>
        <v>33</v>
      </c>
      <c r="S598" s="42" t="str">
        <f>VLOOKUP($D598,Sheet1!$M$5:$O$192,2,TRUE)</f>
        <v>|~.</v>
      </c>
      <c r="T598" s="117">
        <f>IF(ABS(D598-VLOOKUP($D598,Sheet1!$M$5:$T$192,8,TRUE))&lt;10^-10,"SoCA",D598-VLOOKUP($D598,Sheet1!$M$5:$T$192,8,TRUE))</f>
        <v>9.1684696904700047E-2</v>
      </c>
      <c r="U598" s="109">
        <f>IF(VLOOKUP($D598,Sheet1!$M$5:$U$192,9,TRUE)=0,"",IF(ABS(D598-VLOOKUP($D598,Sheet1!$M$5:$U$192,9,TRUE))&lt;10^-10,"Alt.",D598-VLOOKUP($D598,Sheet1!$M$5:$U$192,9,TRUE)))</f>
        <v>6.4724401702264345E-2</v>
      </c>
      <c r="V598" s="132">
        <f>$D598-Sheet1!$M$3*$R598</f>
        <v>0.11200073620594253</v>
      </c>
      <c r="Z598" s="6"/>
      <c r="AA598" s="61"/>
    </row>
    <row r="599" spans="1:27" ht="13.5">
      <c r="A599" s="6" t="s">
        <v>1839</v>
      </c>
      <c r="B599">
        <v>241864704</v>
      </c>
      <c r="C599">
        <v>244140625</v>
      </c>
      <c r="D599" s="13">
        <f t="shared" si="13"/>
        <v>16.214557724143763</v>
      </c>
      <c r="E599" s="61">
        <v>5</v>
      </c>
      <c r="F599" s="65">
        <v>238.99384719778888</v>
      </c>
      <c r="G599" s="59">
        <v>1640</v>
      </c>
      <c r="H599" s="63">
        <v>1000044</v>
      </c>
      <c r="I599" s="65">
        <v>-10.998389391925505</v>
      </c>
      <c r="J599" s="6">
        <f>VLOOKUP($D599,Sheet1!$A$5:$C$192,3,TRUE)</f>
        <v>3</v>
      </c>
      <c r="K599" s="42" t="str">
        <f>VLOOKUP($D599,Sheet1!$A$5:$C$192,2,TRUE)</f>
        <v>~|(</v>
      </c>
      <c r="L599" s="6">
        <f>FLOOR(VLOOKUP($D599,Sheet1!$D$5:$F$192,3,TRUE),1)</f>
        <v>7</v>
      </c>
      <c r="M599" s="42" t="str">
        <f>VLOOKUP($D599,Sheet1!$D$5:$F$192,2,TRUE)</f>
        <v>|~</v>
      </c>
      <c r="N599" s="23">
        <f>FLOOR(VLOOKUP($D599,Sheet1!$G$5:$I$192,3,TRUE),1)</f>
        <v>8</v>
      </c>
      <c r="O599" s="42" t="str">
        <f>VLOOKUP($D599,Sheet1!$G$5:$I$192,2,TRUE)</f>
        <v>|~</v>
      </c>
      <c r="P599" s="23">
        <v>1</v>
      </c>
      <c r="Q599" s="43" t="str">
        <f>VLOOKUP($D599,Sheet1!$J$5:$L$192,2,TRUE)</f>
        <v>|~.</v>
      </c>
      <c r="R599" s="23">
        <f>FLOOR(VLOOKUP($D599,Sheet1!$M$5:$O$192,3,TRUE),1)</f>
        <v>33</v>
      </c>
      <c r="S599" s="42" t="str">
        <f>VLOOKUP($D599,Sheet1!$M$5:$O$192,2,TRUE)</f>
        <v>|~.</v>
      </c>
      <c r="T599" s="117">
        <f>IF(ABS(D599-VLOOKUP($D599,Sheet1!$M$5:$T$192,8,TRUE))&lt;10^-10,"SoCA",D599-VLOOKUP($D599,Sheet1!$M$5:$T$192,8,TRUE))</f>
        <v>9.2931814007783942E-2</v>
      </c>
      <c r="U599" s="109">
        <f>IF(VLOOKUP($D599,Sheet1!$M$5:$U$192,9,TRUE)=0,"",IF(ABS(D599-VLOOKUP($D599,Sheet1!$M$5:$U$192,9,TRUE))&lt;10^-10,"Alt.",D599-VLOOKUP($D599,Sheet1!$M$5:$U$192,9,TRUE)))</f>
        <v>6.5971518805348239E-2</v>
      </c>
      <c r="V599" s="132">
        <f>$D599-Sheet1!$M$3*$R599</f>
        <v>0.11324785330902642</v>
      </c>
      <c r="Z599" s="6"/>
      <c r="AA599" s="61"/>
    </row>
    <row r="600" spans="1:27" ht="13.5">
      <c r="A600" t="s">
        <v>1026</v>
      </c>
      <c r="B600">
        <v>15488</v>
      </c>
      <c r="C600">
        <v>15633</v>
      </c>
      <c r="D600" s="13">
        <f t="shared" si="13"/>
        <v>16.132563453732871</v>
      </c>
      <c r="E600" s="61" t="s">
        <v>1931</v>
      </c>
      <c r="F600" s="65">
        <v>258.35719018159773</v>
      </c>
      <c r="G600" s="6">
        <v>945</v>
      </c>
      <c r="H600" s="6">
        <v>874</v>
      </c>
      <c r="I600" s="65">
        <v>3.0066592940250847</v>
      </c>
      <c r="J600" s="6">
        <f>VLOOKUP($D600,Sheet1!$A$5:$C$192,3,TRUE)</f>
        <v>3</v>
      </c>
      <c r="K600" s="42" t="str">
        <f>VLOOKUP($D600,Sheet1!$A$5:$C$192,2,TRUE)</f>
        <v>~|(</v>
      </c>
      <c r="L600" s="6">
        <f>FLOOR(VLOOKUP($D600,Sheet1!$D$5:$F$192,3,TRUE),1)</f>
        <v>7</v>
      </c>
      <c r="M600" s="42" t="str">
        <f>VLOOKUP($D600,Sheet1!$D$5:$F$192,2,TRUE)</f>
        <v>|~</v>
      </c>
      <c r="N600" s="23">
        <f>FLOOR(VLOOKUP($D600,Sheet1!$G$5:$I$192,3,TRUE),1)</f>
        <v>8</v>
      </c>
      <c r="O600" s="42" t="str">
        <f>VLOOKUP($D600,Sheet1!$G$5:$I$192,2,TRUE)</f>
        <v>|~</v>
      </c>
      <c r="P600" s="23">
        <v>1</v>
      </c>
      <c r="Q600" s="43" t="str">
        <f>VLOOKUP($D600,Sheet1!$J$5:$L$192,2,TRUE)</f>
        <v>|~.</v>
      </c>
      <c r="R600" s="23">
        <f>FLOOR(VLOOKUP($D600,Sheet1!$M$5:$O$192,3,TRUE),1)</f>
        <v>33</v>
      </c>
      <c r="S600" s="42" t="str">
        <f>VLOOKUP($D600,Sheet1!$M$5:$O$192,2,TRUE)</f>
        <v>|~.</v>
      </c>
      <c r="T600" s="117">
        <f>IF(ABS(D600-VLOOKUP($D600,Sheet1!$M$5:$T$192,8,TRUE))&lt;10^-10,"SoCA",D600-VLOOKUP($D600,Sheet1!$M$5:$T$192,8,TRUE))</f>
        <v>1.0937543596892141E-2</v>
      </c>
      <c r="U600" s="109">
        <f>IF(VLOOKUP($D600,Sheet1!$M$5:$U$192,9,TRUE)=0,"",IF(ABS(D600-VLOOKUP($D600,Sheet1!$M$5:$U$192,9,TRUE))&lt;10^-10,"Alt.",D600-VLOOKUP($D600,Sheet1!$M$5:$U$192,9,TRUE)))</f>
        <v>-1.6022751605543561E-2</v>
      </c>
      <c r="V600" s="132">
        <f>$D600-Sheet1!$M$3*$R600</f>
        <v>3.1253582898134624E-2</v>
      </c>
      <c r="Z600" s="6"/>
      <c r="AA600" s="61"/>
    </row>
    <row r="601" spans="1:27" ht="13.5">
      <c r="A601" t="s">
        <v>542</v>
      </c>
      <c r="B601">
        <v>15068</v>
      </c>
      <c r="C601">
        <v>15207</v>
      </c>
      <c r="D601" s="13">
        <f t="shared" si="13"/>
        <v>15.897157635888266</v>
      </c>
      <c r="E601" s="61" t="s">
        <v>1931</v>
      </c>
      <c r="F601" s="65">
        <v>4729.2689467510272</v>
      </c>
      <c r="G601" s="6">
        <v>435</v>
      </c>
      <c r="H601" s="6">
        <v>385</v>
      </c>
      <c r="I601" s="65">
        <v>2.1154087859864501E-2</v>
      </c>
      <c r="J601" s="6">
        <f>VLOOKUP($D601,Sheet1!$A$5:$C$192,3,TRUE)</f>
        <v>3</v>
      </c>
      <c r="K601" s="42" t="str">
        <f>VLOOKUP($D601,Sheet1!$A$5:$C$192,2,TRUE)</f>
        <v>~|(</v>
      </c>
      <c r="L601" s="6">
        <f>FLOOR(VLOOKUP($D601,Sheet1!$D$5:$F$192,3,TRUE),1)</f>
        <v>7</v>
      </c>
      <c r="M601" s="42" t="str">
        <f>VLOOKUP($D601,Sheet1!$D$5:$F$192,2,TRUE)</f>
        <v>|~</v>
      </c>
      <c r="N601" s="23">
        <f>FLOOR(VLOOKUP($D601,Sheet1!$G$5:$I$192,3,TRUE),1)</f>
        <v>8</v>
      </c>
      <c r="O601" s="42" t="str">
        <f>VLOOKUP($D601,Sheet1!$G$5:$I$192,2,TRUE)</f>
        <v>|~</v>
      </c>
      <c r="P601" s="23">
        <v>1</v>
      </c>
      <c r="Q601" s="43" t="str">
        <f>VLOOKUP($D601,Sheet1!$J$5:$L$192,2,TRUE)</f>
        <v>|~.</v>
      </c>
      <c r="R601" s="23">
        <f>FLOOR(VLOOKUP($D601,Sheet1!$M$5:$O$192,3,TRUE),1)</f>
        <v>33</v>
      </c>
      <c r="S601" s="42" t="str">
        <f>VLOOKUP($D601,Sheet1!$M$5:$O$192,2,TRUE)</f>
        <v>|~.</v>
      </c>
      <c r="T601" s="117">
        <f>IF(ABS(D601-VLOOKUP($D601,Sheet1!$M$5:$T$192,8,TRUE))&lt;10^-10,"SoCA",D601-VLOOKUP($D601,Sheet1!$M$5:$T$192,8,TRUE))</f>
        <v>-0.22446827424771243</v>
      </c>
      <c r="U601" s="109">
        <f>IF(VLOOKUP($D601,Sheet1!$M$5:$U$192,9,TRUE)=0,"",IF(ABS(D601-VLOOKUP($D601,Sheet1!$M$5:$U$192,9,TRUE))&lt;10^-10,"Alt.",D601-VLOOKUP($D601,Sheet1!$M$5:$U$192,9,TRUE)))</f>
        <v>-0.25142856945014813</v>
      </c>
      <c r="V601" s="132">
        <f>$D601-Sheet1!$M$3*$R601</f>
        <v>-0.20415223494646995</v>
      </c>
      <c r="Z601" s="6"/>
      <c r="AA601" s="61"/>
    </row>
    <row r="602" spans="1:27" ht="13.5">
      <c r="A602" t="s">
        <v>1410</v>
      </c>
      <c r="B602">
        <v>1456672768</v>
      </c>
      <c r="C602">
        <v>1470313539</v>
      </c>
      <c r="D602" s="13">
        <f t="shared" si="13"/>
        <v>16.136418624530396</v>
      </c>
      <c r="E602" s="61" t="s">
        <v>1931</v>
      </c>
      <c r="F602" s="65">
        <v>435485.19862466265</v>
      </c>
      <c r="G602" s="6">
        <v>1326</v>
      </c>
      <c r="H602" s="6">
        <v>1259</v>
      </c>
      <c r="I602" s="65">
        <v>7.0064219171139293</v>
      </c>
      <c r="J602" s="6">
        <f>VLOOKUP($D602,Sheet1!$A$5:$C$192,3,TRUE)</f>
        <v>3</v>
      </c>
      <c r="K602" s="42" t="str">
        <f>VLOOKUP($D602,Sheet1!$A$5:$C$192,2,TRUE)</f>
        <v>~|(</v>
      </c>
      <c r="L602" s="6">
        <f>FLOOR(VLOOKUP($D602,Sheet1!$D$5:$F$192,3,TRUE),1)</f>
        <v>7</v>
      </c>
      <c r="M602" s="42" t="str">
        <f>VLOOKUP($D602,Sheet1!$D$5:$F$192,2,TRUE)</f>
        <v>|~</v>
      </c>
      <c r="N602" s="23">
        <f>FLOOR(VLOOKUP($D602,Sheet1!$G$5:$I$192,3,TRUE),1)</f>
        <v>8</v>
      </c>
      <c r="O602" s="42" t="str">
        <f>VLOOKUP($D602,Sheet1!$G$5:$I$192,2,TRUE)</f>
        <v>|~</v>
      </c>
      <c r="P602" s="23">
        <v>1</v>
      </c>
      <c r="Q602" s="43" t="str">
        <f>VLOOKUP($D602,Sheet1!$J$5:$L$192,2,TRUE)</f>
        <v>|~.</v>
      </c>
      <c r="R602" s="23">
        <f>FLOOR(VLOOKUP($D602,Sheet1!$M$5:$O$192,3,TRUE),1)</f>
        <v>33</v>
      </c>
      <c r="S602" s="42" t="str">
        <f>VLOOKUP($D602,Sheet1!$M$5:$O$192,2,TRUE)</f>
        <v>|~.</v>
      </c>
      <c r="T602" s="117">
        <f>IF(ABS(D602-VLOOKUP($D602,Sheet1!$M$5:$T$192,8,TRUE))&lt;10^-10,"SoCA",D602-VLOOKUP($D602,Sheet1!$M$5:$T$192,8,TRUE))</f>
        <v>1.4792714394417317E-2</v>
      </c>
      <c r="U602" s="109">
        <f>IF(VLOOKUP($D602,Sheet1!$M$5:$U$192,9,TRUE)=0,"",IF(ABS(D602-VLOOKUP($D602,Sheet1!$M$5:$U$192,9,TRUE))&lt;10^-10,"Alt.",D602-VLOOKUP($D602,Sheet1!$M$5:$U$192,9,TRUE)))</f>
        <v>-1.2167580808018386E-2</v>
      </c>
      <c r="V602" s="132">
        <f>$D602-Sheet1!$M$3*$R602</f>
        <v>3.51087536956598E-2</v>
      </c>
      <c r="Z602" s="6"/>
      <c r="AA602" s="61"/>
    </row>
    <row r="603" spans="1:27" ht="13.5">
      <c r="A603" t="s">
        <v>1520</v>
      </c>
      <c r="B603">
        <v>8547622912</v>
      </c>
      <c r="C603">
        <v>8626842387</v>
      </c>
      <c r="D603" s="13">
        <f t="shared" si="13"/>
        <v>15.971201753349503</v>
      </c>
      <c r="E603" s="61" t="s">
        <v>1931</v>
      </c>
      <c r="F603" s="65">
        <v>1481730.2574444697</v>
      </c>
      <c r="G603" s="6">
        <v>1428</v>
      </c>
      <c r="H603" s="6">
        <v>1369</v>
      </c>
      <c r="I603" s="65">
        <v>8.0165949217903698</v>
      </c>
      <c r="J603" s="6">
        <f>VLOOKUP($D603,Sheet1!$A$5:$C$192,3,TRUE)</f>
        <v>3</v>
      </c>
      <c r="K603" s="42" t="str">
        <f>VLOOKUP($D603,Sheet1!$A$5:$C$192,2,TRUE)</f>
        <v>~|(</v>
      </c>
      <c r="L603" s="6">
        <f>FLOOR(VLOOKUP($D603,Sheet1!$D$5:$F$192,3,TRUE),1)</f>
        <v>7</v>
      </c>
      <c r="M603" s="42" t="str">
        <f>VLOOKUP($D603,Sheet1!$D$5:$F$192,2,TRUE)</f>
        <v>|~</v>
      </c>
      <c r="N603" s="23">
        <f>FLOOR(VLOOKUP($D603,Sheet1!$G$5:$I$192,3,TRUE),1)</f>
        <v>8</v>
      </c>
      <c r="O603" s="42" t="str">
        <f>VLOOKUP($D603,Sheet1!$G$5:$I$192,2,TRUE)</f>
        <v>|~</v>
      </c>
      <c r="P603" s="23">
        <v>1</v>
      </c>
      <c r="Q603" s="43" t="str">
        <f>VLOOKUP($D603,Sheet1!$J$5:$L$192,2,TRUE)</f>
        <v>|~.</v>
      </c>
      <c r="R603" s="23">
        <f>FLOOR(VLOOKUP($D603,Sheet1!$M$5:$O$192,3,TRUE),1)</f>
        <v>33</v>
      </c>
      <c r="S603" s="42" t="str">
        <f>VLOOKUP($D603,Sheet1!$M$5:$O$192,2,TRUE)</f>
        <v>|~.</v>
      </c>
      <c r="T603" s="117">
        <f>IF(ABS(D603-VLOOKUP($D603,Sheet1!$M$5:$T$192,8,TRUE))&lt;10^-10,"SoCA",D603-VLOOKUP($D603,Sheet1!$M$5:$T$192,8,TRUE))</f>
        <v>-0.15042415678647636</v>
      </c>
      <c r="U603" s="109">
        <f>IF(VLOOKUP($D603,Sheet1!$M$5:$U$192,9,TRUE)=0,"",IF(ABS(D603-VLOOKUP($D603,Sheet1!$M$5:$U$192,9,TRUE))&lt;10^-10,"Alt.",D603-VLOOKUP($D603,Sheet1!$M$5:$U$192,9,TRUE)))</f>
        <v>-0.17738445198891206</v>
      </c>
      <c r="V603" s="132">
        <f>$D603-Sheet1!$M$3*$R603</f>
        <v>-0.13010811748523388</v>
      </c>
      <c r="Z603" s="6"/>
      <c r="AA603" s="61"/>
    </row>
    <row r="604" spans="1:27" ht="13.5">
      <c r="A604" t="s">
        <v>622</v>
      </c>
      <c r="B604">
        <v>265847707</v>
      </c>
      <c r="C604">
        <v>268336125</v>
      </c>
      <c r="D604" s="13">
        <f t="shared" si="13"/>
        <v>16.129522737609062</v>
      </c>
      <c r="E604" s="61" t="s">
        <v>1931</v>
      </c>
      <c r="F604" s="65">
        <v>531695702.64399284</v>
      </c>
      <c r="G604" s="6">
        <v>516</v>
      </c>
      <c r="H604" s="6">
        <v>467</v>
      </c>
      <c r="I604" s="65">
        <v>2.0068465219947598</v>
      </c>
      <c r="J604" s="6">
        <f>VLOOKUP($D604,Sheet1!$A$5:$C$192,3,TRUE)</f>
        <v>3</v>
      </c>
      <c r="K604" s="42" t="str">
        <f>VLOOKUP($D604,Sheet1!$A$5:$C$192,2,TRUE)</f>
        <v>~|(</v>
      </c>
      <c r="L604" s="6">
        <f>FLOOR(VLOOKUP($D604,Sheet1!$D$5:$F$192,3,TRUE),1)</f>
        <v>7</v>
      </c>
      <c r="M604" s="42" t="str">
        <f>VLOOKUP($D604,Sheet1!$D$5:$F$192,2,TRUE)</f>
        <v>|~</v>
      </c>
      <c r="N604" s="23">
        <f>FLOOR(VLOOKUP($D604,Sheet1!$G$5:$I$192,3,TRUE),1)</f>
        <v>8</v>
      </c>
      <c r="O604" s="42" t="str">
        <f>VLOOKUP($D604,Sheet1!$G$5:$I$192,2,TRUE)</f>
        <v>|~</v>
      </c>
      <c r="P604" s="23">
        <v>1</v>
      </c>
      <c r="Q604" s="43" t="str">
        <f>VLOOKUP($D604,Sheet1!$J$5:$L$192,2,TRUE)</f>
        <v>|~.</v>
      </c>
      <c r="R604" s="23">
        <f>FLOOR(VLOOKUP($D604,Sheet1!$M$5:$O$192,3,TRUE),1)</f>
        <v>33</v>
      </c>
      <c r="S604" s="42" t="str">
        <f>VLOOKUP($D604,Sheet1!$M$5:$O$192,2,TRUE)</f>
        <v>|~.</v>
      </c>
      <c r="T604" s="117">
        <f>IF(ABS(D604-VLOOKUP($D604,Sheet1!$M$5:$T$192,8,TRUE))&lt;10^-10,"SoCA",D604-VLOOKUP($D604,Sheet1!$M$5:$T$192,8,TRUE))</f>
        <v>7.8968274730826238E-3</v>
      </c>
      <c r="U604" s="109">
        <f>IF(VLOOKUP($D604,Sheet1!$M$5:$U$192,9,TRUE)=0,"",IF(ABS(D604-VLOOKUP($D604,Sheet1!$M$5:$U$192,9,TRUE))&lt;10^-10,"Alt.",D604-VLOOKUP($D604,Sheet1!$M$5:$U$192,9,TRUE)))</f>
        <v>-1.9063467729353079E-2</v>
      </c>
      <c r="V604" s="132">
        <f>$D604-Sheet1!$M$3*$R604</f>
        <v>2.8212866774325107E-2</v>
      </c>
      <c r="Z604" s="6"/>
      <c r="AA604" s="61"/>
    </row>
    <row r="605" spans="1:27" ht="13.5">
      <c r="A605" s="33" t="s">
        <v>71</v>
      </c>
      <c r="B605" s="33">
        <f>3^6</f>
        <v>729</v>
      </c>
      <c r="C605" s="33">
        <f>2^5*23</f>
        <v>736</v>
      </c>
      <c r="D605" s="13">
        <f t="shared" si="13"/>
        <v>16.544342076090803</v>
      </c>
      <c r="E605" s="61">
        <v>23</v>
      </c>
      <c r="F605" s="65">
        <v>29.321910209251875</v>
      </c>
      <c r="G605" s="6">
        <v>49</v>
      </c>
      <c r="H605" s="6">
        <v>53</v>
      </c>
      <c r="I605" s="65">
        <v>-7.0186954159446913</v>
      </c>
      <c r="J605" s="6">
        <f>VLOOKUP($D605,Sheet1!$A$5:$C$192,3,TRUE)</f>
        <v>3</v>
      </c>
      <c r="K605" s="42" t="str">
        <f>VLOOKUP($D605,Sheet1!$A$5:$C$192,2,TRUE)</f>
        <v>~|(</v>
      </c>
      <c r="L605" s="34">
        <f>FLOOR(VLOOKUP($D605,Sheet1!$D$5:$F$192,3,TRUE),1)</f>
        <v>7</v>
      </c>
      <c r="M605" s="41" t="str">
        <f>VLOOKUP($D605,Sheet1!$D$5:$F$192,2,TRUE)</f>
        <v>|~</v>
      </c>
      <c r="N605" s="34">
        <f>FLOOR(VLOOKUP($D605,Sheet1!$G$5:$I$192,3,TRUE),1)</f>
        <v>8</v>
      </c>
      <c r="O605" s="41" t="str">
        <f>VLOOKUP($D605,Sheet1!$G$5:$I$192,2,TRUE)</f>
        <v>|~</v>
      </c>
      <c r="P605" s="34">
        <v>1</v>
      </c>
      <c r="Q605" s="41" t="str">
        <f>VLOOKUP($D605,Sheet1!$J$5:$L$192,2,TRUE)</f>
        <v>|~</v>
      </c>
      <c r="R605" s="34">
        <f>FLOOR(VLOOKUP($D605,Sheet1!$M$5:$O$192,3,TRUE),1)</f>
        <v>34</v>
      </c>
      <c r="S605" s="41" t="str">
        <f>VLOOKUP($D605,Sheet1!$M$5:$O$192,2,TRUE)</f>
        <v>|~</v>
      </c>
      <c r="T605" s="114" t="str">
        <f>IF(ABS(D605-VLOOKUP($D605,Sheet1!$M$5:$T$192,8,TRUE))&lt;10^-10,"SoCA",D605-VLOOKUP($D605,Sheet1!$M$5:$T$192,8,TRUE))</f>
        <v>SoCA</v>
      </c>
      <c r="U605" s="126" t="str">
        <f>IF(VLOOKUP($D605,Sheet1!$M$5:$U$192,9,TRUE)=0,"",IF(ABS(D605-VLOOKUP($D605,Sheet1!$M$5:$U$192,9,TRUE))&lt;10^-10,"Alt.",D605-VLOOKUP($D605,Sheet1!$M$5:$U$192,9,TRUE)))</f>
        <v/>
      </c>
      <c r="V605" s="137">
        <f>$D605-Sheet1!$M$3*$R605</f>
        <v>-4.4886275678319265E-2</v>
      </c>
      <c r="Z605" s="6"/>
      <c r="AA605" s="61"/>
    </row>
    <row r="606" spans="1:27" ht="13.5">
      <c r="A606" s="52" t="s">
        <v>272</v>
      </c>
      <c r="B606" s="52">
        <f>2^3*13</f>
        <v>104</v>
      </c>
      <c r="C606" s="52">
        <f>3*5*7</f>
        <v>105</v>
      </c>
      <c r="D606" s="13">
        <f t="shared" si="13"/>
        <v>16.566959430036512</v>
      </c>
      <c r="E606" s="61">
        <v>13</v>
      </c>
      <c r="F606" s="65">
        <v>30.027438291809645</v>
      </c>
      <c r="G606" s="6">
        <v>87</v>
      </c>
      <c r="H606" s="6">
        <v>78</v>
      </c>
      <c r="I606" s="65">
        <v>-2.0088048826635285E-2</v>
      </c>
      <c r="J606" s="6">
        <f>VLOOKUP($D606,Sheet1!$A$5:$C$192,3,TRUE)</f>
        <v>3</v>
      </c>
      <c r="K606" s="42" t="str">
        <f>VLOOKUP($D606,Sheet1!$A$5:$C$192,2,TRUE)</f>
        <v>~|(</v>
      </c>
      <c r="L606" s="6">
        <f>FLOOR(VLOOKUP($D606,Sheet1!$D$5:$F$192,3,TRUE),1)</f>
        <v>7</v>
      </c>
      <c r="M606" s="42" t="str">
        <f>VLOOKUP($D606,Sheet1!$D$5:$F$192,2,TRUE)</f>
        <v>|~</v>
      </c>
      <c r="N606" s="23">
        <f>FLOOR(VLOOKUP($D606,Sheet1!$G$5:$I$192,3,TRUE),1)</f>
        <v>8</v>
      </c>
      <c r="O606" s="42" t="str">
        <f>VLOOKUP($D606,Sheet1!$G$5:$I$192,2,TRUE)</f>
        <v>|~</v>
      </c>
      <c r="P606" s="23">
        <v>1</v>
      </c>
      <c r="Q606" s="43" t="str">
        <f>VLOOKUP($D606,Sheet1!$J$5:$L$192,2,TRUE)</f>
        <v>|~</v>
      </c>
      <c r="R606" s="40">
        <f>FLOOR(VLOOKUP($D606,Sheet1!$M$5:$O$192,3,TRUE),1)</f>
        <v>34</v>
      </c>
      <c r="S606" s="46" t="str">
        <f>VLOOKUP($D606,Sheet1!$M$5:$O$192,2,TRUE)</f>
        <v>'~|(</v>
      </c>
      <c r="T606" s="115">
        <f>IF(ABS(D606-VLOOKUP($D606,Sheet1!$M$5:$T$192,8,TRUE))&lt;10^-10,"SoCA",D606-VLOOKUP($D606,Sheet1!$M$5:$T$192,8,TRUE))</f>
        <v>-0.11717518524202575</v>
      </c>
      <c r="U606" s="115" t="str">
        <f>IF(VLOOKUP($D606,Sheet1!$M$5:$U$192,9,TRUE)=0,"",IF(ABS(D606-VLOOKUP($D606,Sheet1!$M$5:$U$192,9,TRUE))&lt;10^-10,"Alt.",D606-VLOOKUP($D606,Sheet1!$M$5:$U$192,9,TRUE)))</f>
        <v/>
      </c>
      <c r="V606" s="132">
        <f>$D606-Sheet1!$M$3*$R606</f>
        <v>-2.2268921732610636E-2</v>
      </c>
      <c r="Z606" s="6"/>
      <c r="AA606" s="61"/>
    </row>
    <row r="607" spans="1:27" ht="13.5">
      <c r="A607" t="s">
        <v>600</v>
      </c>
      <c r="B607">
        <v>28160</v>
      </c>
      <c r="C607">
        <v>28431</v>
      </c>
      <c r="D607" s="13">
        <f t="shared" si="13"/>
        <v>16.581011597430834</v>
      </c>
      <c r="E607" s="61">
        <v>13</v>
      </c>
      <c r="F607" s="65">
        <v>36.612393839687684</v>
      </c>
      <c r="G607" s="6">
        <v>434</v>
      </c>
      <c r="H607" s="6">
        <v>445</v>
      </c>
      <c r="I607" s="65">
        <v>5.9790467080320635</v>
      </c>
      <c r="J607" s="6">
        <f>VLOOKUP($D607,Sheet1!$A$5:$C$192,3,TRUE)</f>
        <v>3</v>
      </c>
      <c r="K607" s="42" t="str">
        <f>VLOOKUP($D607,Sheet1!$A$5:$C$192,2,TRUE)</f>
        <v>~|(</v>
      </c>
      <c r="L607" s="6">
        <f>FLOOR(VLOOKUP($D607,Sheet1!$D$5:$F$192,3,TRUE),1)</f>
        <v>7</v>
      </c>
      <c r="M607" s="42" t="str">
        <f>VLOOKUP($D607,Sheet1!$D$5:$F$192,2,TRUE)</f>
        <v>|~</v>
      </c>
      <c r="N607" s="23">
        <f>FLOOR(VLOOKUP($D607,Sheet1!$G$5:$I$192,3,TRUE),1)</f>
        <v>8</v>
      </c>
      <c r="O607" s="42" t="str">
        <f>VLOOKUP($D607,Sheet1!$G$5:$I$192,2,TRUE)</f>
        <v>|~</v>
      </c>
      <c r="P607" s="23">
        <v>1</v>
      </c>
      <c r="Q607" s="43" t="str">
        <f>VLOOKUP($D607,Sheet1!$J$5:$L$192,2,TRUE)</f>
        <v>|~</v>
      </c>
      <c r="R607" s="23">
        <f>FLOOR(VLOOKUP($D607,Sheet1!$M$5:$O$192,3,TRUE),1)</f>
        <v>34</v>
      </c>
      <c r="S607" s="42" t="str">
        <f>VLOOKUP($D607,Sheet1!$M$5:$O$192,2,TRUE)</f>
        <v>'~|(</v>
      </c>
      <c r="T607" s="117">
        <f>IF(ABS(D607-VLOOKUP($D607,Sheet1!$M$5:$T$192,8,TRUE))&lt;10^-10,"SoCA",D607-VLOOKUP($D607,Sheet1!$M$5:$T$192,8,TRUE))</f>
        <v>-0.10312301784770384</v>
      </c>
      <c r="U607" s="109" t="str">
        <f>IF(VLOOKUP($D607,Sheet1!$M$5:$U$192,9,TRUE)=0,"",IF(ABS(D607-VLOOKUP($D607,Sheet1!$M$5:$U$192,9,TRUE))&lt;10^-10,"Alt.",D607-VLOOKUP($D607,Sheet1!$M$5:$U$192,9,TRUE)))</f>
        <v/>
      </c>
      <c r="V607" s="132">
        <f>$D607-Sheet1!$M$3*$R607</f>
        <v>-8.2167543382887231E-3</v>
      </c>
      <c r="Z607" s="6"/>
      <c r="AA607" s="61"/>
    </row>
    <row r="608" spans="1:27" ht="13.5">
      <c r="A608" t="s">
        <v>1130</v>
      </c>
      <c r="B608">
        <v>29120</v>
      </c>
      <c r="C608">
        <v>29403</v>
      </c>
      <c r="D608" s="13">
        <f t="shared" si="13"/>
        <v>16.743606953180201</v>
      </c>
      <c r="E608" s="61">
        <v>13</v>
      </c>
      <c r="F608" s="65">
        <v>56.912335099708287</v>
      </c>
      <c r="G608" s="6">
        <v>1039</v>
      </c>
      <c r="H608" s="6">
        <v>979</v>
      </c>
      <c r="I608" s="65">
        <v>3.9690351196114424</v>
      </c>
      <c r="J608" s="6">
        <f>VLOOKUP($D608,Sheet1!$A$5:$C$192,3,TRUE)</f>
        <v>3</v>
      </c>
      <c r="K608" s="42" t="str">
        <f>VLOOKUP($D608,Sheet1!$A$5:$C$192,2,TRUE)</f>
        <v>~|(</v>
      </c>
      <c r="L608" s="6">
        <f>FLOOR(VLOOKUP($D608,Sheet1!$D$5:$F$192,3,TRUE),1)</f>
        <v>7</v>
      </c>
      <c r="M608" s="42" t="str">
        <f>VLOOKUP($D608,Sheet1!$D$5:$F$192,2,TRUE)</f>
        <v>|~</v>
      </c>
      <c r="N608" s="23">
        <f>FLOOR(VLOOKUP($D608,Sheet1!$G$5:$I$192,3,TRUE),1)</f>
        <v>8</v>
      </c>
      <c r="O608" s="42" t="str">
        <f>VLOOKUP($D608,Sheet1!$G$5:$I$192,2,TRUE)</f>
        <v>|~</v>
      </c>
      <c r="P608" s="23">
        <v>1</v>
      </c>
      <c r="Q608" s="43" t="str">
        <f>VLOOKUP($D608,Sheet1!$J$5:$L$192,2,TRUE)</f>
        <v>|~</v>
      </c>
      <c r="R608" s="23">
        <f>FLOOR(VLOOKUP($D608,Sheet1!$M$5:$O$192,3,TRUE),1)</f>
        <v>34</v>
      </c>
      <c r="S608" s="42" t="str">
        <f>VLOOKUP($D608,Sheet1!$M$5:$O$192,2,TRUE)</f>
        <v>'~|(</v>
      </c>
      <c r="T608" s="117">
        <f>IF(ABS(D608-VLOOKUP($D608,Sheet1!$M$5:$T$192,8,TRUE))&lt;10^-10,"SoCA",D608-VLOOKUP($D608,Sheet1!$M$5:$T$192,8,TRUE))</f>
        <v>5.9472337901663508E-2</v>
      </c>
      <c r="U608" s="109" t="str">
        <f>IF(VLOOKUP($D608,Sheet1!$M$5:$U$192,9,TRUE)=0,"",IF(ABS(D608-VLOOKUP($D608,Sheet1!$M$5:$U$192,9,TRUE))&lt;10^-10,"Alt.",D608-VLOOKUP($D608,Sheet1!$M$5:$U$192,9,TRUE)))</f>
        <v/>
      </c>
      <c r="V608" s="132">
        <f>$D608-Sheet1!$M$3*$R608</f>
        <v>0.15437860141107862</v>
      </c>
      <c r="Z608" s="6"/>
      <c r="AA608" s="61"/>
    </row>
    <row r="609" spans="1:27" ht="13.5">
      <c r="A609" t="s">
        <v>1732</v>
      </c>
      <c r="B609">
        <v>6751269</v>
      </c>
      <c r="C609">
        <v>6815744</v>
      </c>
      <c r="D609" s="13">
        <f t="shared" si="13"/>
        <v>16.454934573449158</v>
      </c>
      <c r="E609" s="61">
        <v>13</v>
      </c>
      <c r="F609" s="65">
        <v>62.896677038742169</v>
      </c>
      <c r="G609" s="6">
        <v>1641</v>
      </c>
      <c r="H609" s="6">
        <v>1581</v>
      </c>
      <c r="I609" s="65">
        <v>-10.013190270277779</v>
      </c>
      <c r="J609" s="6">
        <f>VLOOKUP($D609,Sheet1!$A$5:$C$192,3,TRUE)</f>
        <v>3</v>
      </c>
      <c r="K609" s="42" t="str">
        <f>VLOOKUP($D609,Sheet1!$A$5:$C$192,2,TRUE)</f>
        <v>~|(</v>
      </c>
      <c r="L609" s="6">
        <f>FLOOR(VLOOKUP($D609,Sheet1!$D$5:$F$192,3,TRUE),1)</f>
        <v>7</v>
      </c>
      <c r="M609" s="42" t="str">
        <f>VLOOKUP($D609,Sheet1!$D$5:$F$192,2,TRUE)</f>
        <v>|~</v>
      </c>
      <c r="N609" s="23">
        <f>FLOOR(VLOOKUP($D609,Sheet1!$G$5:$I$192,3,TRUE),1)</f>
        <v>8</v>
      </c>
      <c r="O609" s="42" t="str">
        <f>VLOOKUP($D609,Sheet1!$G$5:$I$192,2,TRUE)</f>
        <v>|~</v>
      </c>
      <c r="P609" s="23">
        <v>1</v>
      </c>
      <c r="Q609" s="43" t="str">
        <f>VLOOKUP($D609,Sheet1!$J$5:$L$192,2,TRUE)</f>
        <v>|~</v>
      </c>
      <c r="R609" s="23">
        <f>FLOOR(VLOOKUP($D609,Sheet1!$M$5:$O$192,3,TRUE),1)</f>
        <v>34</v>
      </c>
      <c r="S609" s="42" t="str">
        <f>VLOOKUP($D609,Sheet1!$M$5:$O$192,2,TRUE)</f>
        <v>|~</v>
      </c>
      <c r="T609" s="117">
        <f>IF(ABS(D609-VLOOKUP($D609,Sheet1!$M$5:$T$192,8,TRUE))&lt;10^-10,"SoCA",D609-VLOOKUP($D609,Sheet1!$M$5:$T$192,8,TRUE))</f>
        <v>-8.9407502641645209E-2</v>
      </c>
      <c r="U609" s="109" t="str">
        <f>IF(VLOOKUP($D609,Sheet1!$M$5:$U$192,9,TRUE)=0,"",IF(ABS(D609-VLOOKUP($D609,Sheet1!$M$5:$U$192,9,TRUE))&lt;10^-10,"Alt.",D609-VLOOKUP($D609,Sheet1!$M$5:$U$192,9,TRUE)))</f>
        <v/>
      </c>
      <c r="V609" s="132">
        <f>$D609-Sheet1!$M$3*$R609</f>
        <v>-0.13429377831996447</v>
      </c>
      <c r="Z609" s="6"/>
      <c r="AA609" s="61"/>
    </row>
    <row r="610" spans="1:27" ht="13.5">
      <c r="A610" t="s">
        <v>1452</v>
      </c>
      <c r="B610">
        <v>3801088</v>
      </c>
      <c r="C610">
        <v>3838185</v>
      </c>
      <c r="D610" s="13">
        <f t="shared" si="13"/>
        <v>16.814190134932858</v>
      </c>
      <c r="E610" s="61">
        <v>29</v>
      </c>
      <c r="F610" s="65">
        <v>72.778519498694621</v>
      </c>
      <c r="G610" s="6">
        <v>1223</v>
      </c>
      <c r="H610" s="6">
        <v>1301</v>
      </c>
      <c r="I610" s="65">
        <v>8.9646890559624008</v>
      </c>
      <c r="J610" s="6">
        <f>VLOOKUP($D610,Sheet1!$A$5:$C$192,3,TRUE)</f>
        <v>3</v>
      </c>
      <c r="K610" s="42" t="str">
        <f>VLOOKUP($D610,Sheet1!$A$5:$C$192,2,TRUE)</f>
        <v>~|(</v>
      </c>
      <c r="L610" s="6">
        <f>FLOOR(VLOOKUP($D610,Sheet1!$D$5:$F$192,3,TRUE),1)</f>
        <v>7</v>
      </c>
      <c r="M610" s="42" t="str">
        <f>VLOOKUP($D610,Sheet1!$D$5:$F$192,2,TRUE)</f>
        <v>|~</v>
      </c>
      <c r="N610" s="23">
        <f>FLOOR(VLOOKUP($D610,Sheet1!$G$5:$I$192,3,TRUE),1)</f>
        <v>8</v>
      </c>
      <c r="O610" s="42" t="str">
        <f>VLOOKUP($D610,Sheet1!$G$5:$I$192,2,TRUE)</f>
        <v>|~</v>
      </c>
      <c r="P610" s="23">
        <v>1</v>
      </c>
      <c r="Q610" s="43" t="str">
        <f>VLOOKUP($D610,Sheet1!$J$5:$L$192,2,TRUE)</f>
        <v>|~</v>
      </c>
      <c r="R610" s="23">
        <f>FLOOR(VLOOKUP($D610,Sheet1!$M$5:$O$192,3,TRUE),1)</f>
        <v>34</v>
      </c>
      <c r="S610" s="42" t="str">
        <f>VLOOKUP($D610,Sheet1!$M$5:$O$192,2,TRUE)</f>
        <v>'~|(</v>
      </c>
      <c r="T610" s="117">
        <f>IF(ABS(D610-VLOOKUP($D610,Sheet1!$M$5:$T$192,8,TRUE))&lt;10^-10,"SoCA",D610-VLOOKUP($D610,Sheet1!$M$5:$T$192,8,TRUE))</f>
        <v>0.13005551965432005</v>
      </c>
      <c r="U610" s="109" t="str">
        <f>IF(VLOOKUP($D610,Sheet1!$M$5:$U$192,9,TRUE)=0,"",IF(ABS(D610-VLOOKUP($D610,Sheet1!$M$5:$U$192,9,TRUE))&lt;10^-10,"Alt.",D610-VLOOKUP($D610,Sheet1!$M$5:$U$192,9,TRUE)))</f>
        <v/>
      </c>
      <c r="V610" s="132">
        <f>$D610-Sheet1!$M$3*$R610</f>
        <v>0.22496178316373516</v>
      </c>
      <c r="Z610" s="6"/>
      <c r="AA610" s="61"/>
    </row>
    <row r="611" spans="1:27" ht="13.5">
      <c r="A611" t="s">
        <v>936</v>
      </c>
      <c r="B611">
        <v>1792</v>
      </c>
      <c r="C611">
        <v>1809</v>
      </c>
      <c r="D611" s="13">
        <f t="shared" si="13"/>
        <v>16.346124676364351</v>
      </c>
      <c r="E611" s="61" t="s">
        <v>1931</v>
      </c>
      <c r="F611" s="65">
        <v>74.143330108370066</v>
      </c>
      <c r="G611" s="6">
        <v>845</v>
      </c>
      <c r="H611" s="6">
        <v>784</v>
      </c>
      <c r="I611" s="65">
        <v>1.9935095515017702</v>
      </c>
      <c r="J611" s="6">
        <f>VLOOKUP($D611,Sheet1!$A$5:$C$192,3,TRUE)</f>
        <v>3</v>
      </c>
      <c r="K611" s="42" t="str">
        <f>VLOOKUP($D611,Sheet1!$A$5:$C$192,2,TRUE)</f>
        <v>~|(</v>
      </c>
      <c r="L611" s="6">
        <f>FLOOR(VLOOKUP($D611,Sheet1!$D$5:$F$192,3,TRUE),1)</f>
        <v>7</v>
      </c>
      <c r="M611" s="42" t="str">
        <f>VLOOKUP($D611,Sheet1!$D$5:$F$192,2,TRUE)</f>
        <v>|~</v>
      </c>
      <c r="N611" s="23">
        <f>FLOOR(VLOOKUP($D611,Sheet1!$G$5:$I$192,3,TRUE),1)</f>
        <v>8</v>
      </c>
      <c r="O611" s="42" t="str">
        <f>VLOOKUP($D611,Sheet1!$G$5:$I$192,2,TRUE)</f>
        <v>|~</v>
      </c>
      <c r="P611" s="23">
        <v>1</v>
      </c>
      <c r="Q611" s="43" t="str">
        <f>VLOOKUP($D611,Sheet1!$J$5:$L$192,2,TRUE)</f>
        <v>|~</v>
      </c>
      <c r="R611" s="23">
        <f>FLOOR(VLOOKUP($D611,Sheet1!$M$5:$O$192,3,TRUE),1)</f>
        <v>34</v>
      </c>
      <c r="S611" s="42" t="str">
        <f>VLOOKUP($D611,Sheet1!$M$5:$O$192,2,TRUE)</f>
        <v>|~</v>
      </c>
      <c r="T611" s="117">
        <f>IF(ABS(D611-VLOOKUP($D611,Sheet1!$M$5:$T$192,8,TRUE))&lt;10^-10,"SoCA",D611-VLOOKUP($D611,Sheet1!$M$5:$T$192,8,TRUE))</f>
        <v>-0.19821739972645247</v>
      </c>
      <c r="U611" s="109" t="str">
        <f>IF(VLOOKUP($D611,Sheet1!$M$5:$U$192,9,TRUE)=0,"",IF(ABS(D611-VLOOKUP($D611,Sheet1!$M$5:$U$192,9,TRUE))&lt;10^-10,"Alt.",D611-VLOOKUP($D611,Sheet1!$M$5:$U$192,9,TRUE)))</f>
        <v/>
      </c>
      <c r="V611" s="132">
        <f>$D611-Sheet1!$M$3*$R611</f>
        <v>-0.24310367540477174</v>
      </c>
      <c r="Z611" s="6"/>
      <c r="AA611" s="61"/>
    </row>
    <row r="612" spans="1:27" ht="13.5">
      <c r="A612" t="s">
        <v>1521</v>
      </c>
      <c r="B612">
        <v>251505</v>
      </c>
      <c r="C612">
        <v>253952</v>
      </c>
      <c r="D612" s="13">
        <f t="shared" si="13"/>
        <v>16.762505273288095</v>
      </c>
      <c r="E612" s="61">
        <v>31</v>
      </c>
      <c r="F612" s="65">
        <v>75.22570079933503</v>
      </c>
      <c r="G612" s="6">
        <v>1429</v>
      </c>
      <c r="H612" s="6">
        <v>1370</v>
      </c>
      <c r="I612" s="65">
        <v>-8.0321285188079301</v>
      </c>
      <c r="J612" s="6">
        <f>VLOOKUP($D612,Sheet1!$A$5:$C$192,3,TRUE)</f>
        <v>3</v>
      </c>
      <c r="K612" s="42" t="str">
        <f>VLOOKUP($D612,Sheet1!$A$5:$C$192,2,TRUE)</f>
        <v>~|(</v>
      </c>
      <c r="L612" s="6">
        <f>FLOOR(VLOOKUP($D612,Sheet1!$D$5:$F$192,3,TRUE),1)</f>
        <v>7</v>
      </c>
      <c r="M612" s="42" t="str">
        <f>VLOOKUP($D612,Sheet1!$D$5:$F$192,2,TRUE)</f>
        <v>|~</v>
      </c>
      <c r="N612" s="23">
        <f>FLOOR(VLOOKUP($D612,Sheet1!$G$5:$I$192,3,TRUE),1)</f>
        <v>8</v>
      </c>
      <c r="O612" s="42" t="str">
        <f>VLOOKUP($D612,Sheet1!$G$5:$I$192,2,TRUE)</f>
        <v>|~</v>
      </c>
      <c r="P612" s="23">
        <v>1</v>
      </c>
      <c r="Q612" s="43" t="str">
        <f>VLOOKUP($D612,Sheet1!$J$5:$L$192,2,TRUE)</f>
        <v>|~</v>
      </c>
      <c r="R612" s="23">
        <f>FLOOR(VLOOKUP($D612,Sheet1!$M$5:$O$192,3,TRUE),1)</f>
        <v>34</v>
      </c>
      <c r="S612" s="42" t="str">
        <f>VLOOKUP($D612,Sheet1!$M$5:$O$192,2,TRUE)</f>
        <v>'~|(</v>
      </c>
      <c r="T612" s="117">
        <f>IF(ABS(D612-VLOOKUP($D612,Sheet1!$M$5:$T$192,8,TRUE))&lt;10^-10,"SoCA",D612-VLOOKUP($D612,Sheet1!$M$5:$T$192,8,TRUE))</f>
        <v>7.8370658009557559E-2</v>
      </c>
      <c r="U612" s="109" t="str">
        <f>IF(VLOOKUP($D612,Sheet1!$M$5:$U$192,9,TRUE)=0,"",IF(ABS(D612-VLOOKUP($D612,Sheet1!$M$5:$U$192,9,TRUE))&lt;10^-10,"Alt.",D612-VLOOKUP($D612,Sheet1!$M$5:$U$192,9,TRUE)))</f>
        <v/>
      </c>
      <c r="V612" s="132">
        <f>$D612-Sheet1!$M$3*$R612</f>
        <v>0.17327692151897267</v>
      </c>
      <c r="Z612" s="6"/>
      <c r="AA612" s="61"/>
    </row>
    <row r="613" spans="1:27" ht="13.5">
      <c r="A613" t="s">
        <v>1679</v>
      </c>
      <c r="B613">
        <v>688905</v>
      </c>
      <c r="C613">
        <v>695552</v>
      </c>
      <c r="D613" s="13">
        <f t="shared" si="13"/>
        <v>16.623992143923257</v>
      </c>
      <c r="E613" s="61">
        <v>19</v>
      </c>
      <c r="F613" s="65">
        <v>83.341814927623275</v>
      </c>
      <c r="G613" s="6">
        <v>1451</v>
      </c>
      <c r="H613" s="6">
        <v>1528</v>
      </c>
      <c r="I613" s="65">
        <v>-10.023599760802131</v>
      </c>
      <c r="J613" s="6">
        <f>VLOOKUP($D613,Sheet1!$A$5:$C$192,3,TRUE)</f>
        <v>3</v>
      </c>
      <c r="K613" s="42" t="str">
        <f>VLOOKUP($D613,Sheet1!$A$5:$C$192,2,TRUE)</f>
        <v>~|(</v>
      </c>
      <c r="L613" s="6">
        <f>FLOOR(VLOOKUP($D613,Sheet1!$D$5:$F$192,3,TRUE),1)</f>
        <v>7</v>
      </c>
      <c r="M613" s="42" t="str">
        <f>VLOOKUP($D613,Sheet1!$D$5:$F$192,2,TRUE)</f>
        <v>|~</v>
      </c>
      <c r="N613" s="23">
        <f>FLOOR(VLOOKUP($D613,Sheet1!$G$5:$I$192,3,TRUE),1)</f>
        <v>8</v>
      </c>
      <c r="O613" s="42" t="str">
        <f>VLOOKUP($D613,Sheet1!$G$5:$I$192,2,TRUE)</f>
        <v>|~</v>
      </c>
      <c r="P613" s="23">
        <v>1</v>
      </c>
      <c r="Q613" s="43" t="str">
        <f>VLOOKUP($D613,Sheet1!$J$5:$L$192,2,TRUE)</f>
        <v>|~</v>
      </c>
      <c r="R613" s="23">
        <f>FLOOR(VLOOKUP($D613,Sheet1!$M$5:$O$192,3,TRUE),1)</f>
        <v>34</v>
      </c>
      <c r="S613" s="42" t="str">
        <f>VLOOKUP($D613,Sheet1!$M$5:$O$192,2,TRUE)</f>
        <v>'~|(</v>
      </c>
      <c r="T613" s="117">
        <f>IF(ABS(D613-VLOOKUP($D613,Sheet1!$M$5:$T$192,8,TRUE))&lt;10^-10,"SoCA",D613-VLOOKUP($D613,Sheet1!$M$5:$T$192,8,TRUE))</f>
        <v>-6.0142471355280946E-2</v>
      </c>
      <c r="U613" s="109" t="str">
        <f>IF(VLOOKUP($D613,Sheet1!$M$5:$U$192,9,TRUE)=0,"",IF(ABS(D613-VLOOKUP($D613,Sheet1!$M$5:$U$192,9,TRUE))&lt;10^-10,"Alt.",D613-VLOOKUP($D613,Sheet1!$M$5:$U$192,9,TRUE)))</f>
        <v/>
      </c>
      <c r="V613" s="132">
        <f>$D613-Sheet1!$M$3*$R613</f>
        <v>3.4763792154134165E-2</v>
      </c>
      <c r="Z613" s="6"/>
      <c r="AA613" s="61"/>
    </row>
    <row r="614" spans="1:27" ht="13.5">
      <c r="A614" t="s">
        <v>435</v>
      </c>
      <c r="B614">
        <v>103</v>
      </c>
      <c r="C614">
        <v>104</v>
      </c>
      <c r="D614" s="13">
        <f t="shared" si="13"/>
        <v>16.72702914944853</v>
      </c>
      <c r="E614" s="61" t="s">
        <v>1931</v>
      </c>
      <c r="F614" s="65">
        <v>116.04008456044555</v>
      </c>
      <c r="G614" s="6">
        <v>310</v>
      </c>
      <c r="H614" s="6">
        <v>273</v>
      </c>
      <c r="I614" s="65">
        <v>-1.0299441246165713</v>
      </c>
      <c r="J614" s="6">
        <f>VLOOKUP($D614,Sheet1!$A$5:$C$192,3,TRUE)</f>
        <v>3</v>
      </c>
      <c r="K614" s="42" t="str">
        <f>VLOOKUP($D614,Sheet1!$A$5:$C$192,2,TRUE)</f>
        <v>~|(</v>
      </c>
      <c r="L614" s="6">
        <f>FLOOR(VLOOKUP($D614,Sheet1!$D$5:$F$192,3,TRUE),1)</f>
        <v>7</v>
      </c>
      <c r="M614" s="42" t="str">
        <f>VLOOKUP($D614,Sheet1!$D$5:$F$192,2,TRUE)</f>
        <v>|~</v>
      </c>
      <c r="N614" s="23">
        <f>FLOOR(VLOOKUP($D614,Sheet1!$G$5:$I$192,3,TRUE),1)</f>
        <v>8</v>
      </c>
      <c r="O614" s="42" t="str">
        <f>VLOOKUP($D614,Sheet1!$G$5:$I$192,2,TRUE)</f>
        <v>|~</v>
      </c>
      <c r="P614" s="23">
        <v>1</v>
      </c>
      <c r="Q614" s="43" t="str">
        <f>VLOOKUP($D614,Sheet1!$J$5:$L$192,2,TRUE)</f>
        <v>|~</v>
      </c>
      <c r="R614" s="23">
        <f>FLOOR(VLOOKUP($D614,Sheet1!$M$5:$O$192,3,TRUE),1)</f>
        <v>34</v>
      </c>
      <c r="S614" s="42" t="str">
        <f>VLOOKUP($D614,Sheet1!$M$5:$O$192,2,TRUE)</f>
        <v>'~|(</v>
      </c>
      <c r="T614" s="117">
        <f>IF(ABS(D614-VLOOKUP($D614,Sheet1!$M$5:$T$192,8,TRUE))&lt;10^-10,"SoCA",D614-VLOOKUP($D614,Sheet1!$M$5:$T$192,8,TRUE))</f>
        <v>4.2894534169992227E-2</v>
      </c>
      <c r="U614" s="109" t="str">
        <f>IF(VLOOKUP($D614,Sheet1!$M$5:$U$192,9,TRUE)=0,"",IF(ABS(D614-VLOOKUP($D614,Sheet1!$M$5:$U$192,9,TRUE))&lt;10^-10,"Alt.",D614-VLOOKUP($D614,Sheet1!$M$5:$U$192,9,TRUE)))</f>
        <v/>
      </c>
      <c r="V614" s="132">
        <f>$D614-Sheet1!$M$3*$R614</f>
        <v>0.13780079767940734</v>
      </c>
      <c r="Z614" s="6"/>
      <c r="AA614" s="61"/>
    </row>
    <row r="615" spans="1:27" ht="13.5">
      <c r="A615" t="s">
        <v>1218</v>
      </c>
      <c r="B615">
        <v>100352</v>
      </c>
      <c r="C615">
        <v>101331</v>
      </c>
      <c r="D615" s="13">
        <f t="shared" si="13"/>
        <v>16.80747952228338</v>
      </c>
      <c r="E615" s="61" t="s">
        <v>1931</v>
      </c>
      <c r="F615" s="65">
        <v>184.92668631476693</v>
      </c>
      <c r="G615" s="6">
        <v>1126</v>
      </c>
      <c r="H615" s="6">
        <v>1067</v>
      </c>
      <c r="I615" s="65">
        <v>4.9651022528313211</v>
      </c>
      <c r="J615" s="6">
        <f>VLOOKUP($D615,Sheet1!$A$5:$C$192,3,TRUE)</f>
        <v>3</v>
      </c>
      <c r="K615" s="42" t="str">
        <f>VLOOKUP($D615,Sheet1!$A$5:$C$192,2,TRUE)</f>
        <v>~|(</v>
      </c>
      <c r="L615" s="6">
        <f>FLOOR(VLOOKUP($D615,Sheet1!$D$5:$F$192,3,TRUE),1)</f>
        <v>7</v>
      </c>
      <c r="M615" s="42" t="str">
        <f>VLOOKUP($D615,Sheet1!$D$5:$F$192,2,TRUE)</f>
        <v>|~</v>
      </c>
      <c r="N615" s="23">
        <f>FLOOR(VLOOKUP($D615,Sheet1!$G$5:$I$192,3,TRUE),1)</f>
        <v>8</v>
      </c>
      <c r="O615" s="42" t="str">
        <f>VLOOKUP($D615,Sheet1!$G$5:$I$192,2,TRUE)</f>
        <v>|~</v>
      </c>
      <c r="P615" s="23">
        <v>1</v>
      </c>
      <c r="Q615" s="43" t="str">
        <f>VLOOKUP($D615,Sheet1!$J$5:$L$192,2,TRUE)</f>
        <v>|~</v>
      </c>
      <c r="R615" s="23">
        <f>FLOOR(VLOOKUP($D615,Sheet1!$M$5:$O$192,3,TRUE),1)</f>
        <v>34</v>
      </c>
      <c r="S615" s="42" t="str">
        <f>VLOOKUP($D615,Sheet1!$M$5:$O$192,2,TRUE)</f>
        <v>'~|(</v>
      </c>
      <c r="T615" s="117">
        <f>IF(ABS(D615-VLOOKUP($D615,Sheet1!$M$5:$T$192,8,TRUE))&lt;10^-10,"SoCA",D615-VLOOKUP($D615,Sheet1!$M$5:$T$192,8,TRUE))</f>
        <v>0.12334490700484224</v>
      </c>
      <c r="U615" s="109" t="str">
        <f>IF(VLOOKUP($D615,Sheet1!$M$5:$U$192,9,TRUE)=0,"",IF(ABS(D615-VLOOKUP($D615,Sheet1!$M$5:$U$192,9,TRUE))&lt;10^-10,"Alt.",D615-VLOOKUP($D615,Sheet1!$M$5:$U$192,9,TRUE)))</f>
        <v/>
      </c>
      <c r="V615" s="132">
        <f>$D615-Sheet1!$M$3*$R615</f>
        <v>0.21825117051425735</v>
      </c>
      <c r="Z615" s="6"/>
      <c r="AA615" s="61"/>
    </row>
    <row r="616" spans="1:27" ht="13.5">
      <c r="A616" t="s">
        <v>1021</v>
      </c>
      <c r="B616">
        <v>320000</v>
      </c>
      <c r="C616">
        <v>323109</v>
      </c>
      <c r="D616" s="13">
        <f t="shared" si="13"/>
        <v>16.738837706806184</v>
      </c>
      <c r="E616" s="61" t="s">
        <v>1931</v>
      </c>
      <c r="F616" s="65">
        <v>6414.9461485552383</v>
      </c>
      <c r="G616" s="6">
        <v>940</v>
      </c>
      <c r="H616" s="6">
        <v>869</v>
      </c>
      <c r="I616" s="65">
        <v>2.969328779486001</v>
      </c>
      <c r="J616" s="6">
        <f>VLOOKUP($D616,Sheet1!$A$5:$C$192,3,TRUE)</f>
        <v>3</v>
      </c>
      <c r="K616" s="42" t="str">
        <f>VLOOKUP($D616,Sheet1!$A$5:$C$192,2,TRUE)</f>
        <v>~|(</v>
      </c>
      <c r="L616" s="6">
        <f>FLOOR(VLOOKUP($D616,Sheet1!$D$5:$F$192,3,TRUE),1)</f>
        <v>7</v>
      </c>
      <c r="M616" s="42" t="str">
        <f>VLOOKUP($D616,Sheet1!$D$5:$F$192,2,TRUE)</f>
        <v>|~</v>
      </c>
      <c r="N616" s="23">
        <f>FLOOR(VLOOKUP($D616,Sheet1!$G$5:$I$192,3,TRUE),1)</f>
        <v>8</v>
      </c>
      <c r="O616" s="42" t="str">
        <f>VLOOKUP($D616,Sheet1!$G$5:$I$192,2,TRUE)</f>
        <v>|~</v>
      </c>
      <c r="P616" s="23">
        <v>1</v>
      </c>
      <c r="Q616" s="43" t="str">
        <f>VLOOKUP($D616,Sheet1!$J$5:$L$192,2,TRUE)</f>
        <v>|~</v>
      </c>
      <c r="R616" s="23">
        <f>FLOOR(VLOOKUP($D616,Sheet1!$M$5:$O$192,3,TRUE),1)</f>
        <v>34</v>
      </c>
      <c r="S616" s="42" t="str">
        <f>VLOOKUP($D616,Sheet1!$M$5:$O$192,2,TRUE)</f>
        <v>'~|(</v>
      </c>
      <c r="T616" s="117">
        <f>IF(ABS(D616-VLOOKUP($D616,Sheet1!$M$5:$T$192,8,TRUE))&lt;10^-10,"SoCA",D616-VLOOKUP($D616,Sheet1!$M$5:$T$192,8,TRUE))</f>
        <v>5.4703091527645853E-2</v>
      </c>
      <c r="U616" s="109" t="str">
        <f>IF(VLOOKUP($D616,Sheet1!$M$5:$U$192,9,TRUE)=0,"",IF(ABS(D616-VLOOKUP($D616,Sheet1!$M$5:$U$192,9,TRUE))&lt;10^-10,"Alt.",D616-VLOOKUP($D616,Sheet1!$M$5:$U$192,9,TRUE)))</f>
        <v/>
      </c>
      <c r="V616" s="132">
        <f>$D616-Sheet1!$M$3*$R616</f>
        <v>0.14960935503706096</v>
      </c>
      <c r="Z616" s="6"/>
      <c r="AA616" s="61"/>
    </row>
    <row r="617" spans="1:27" ht="13.5">
      <c r="A617" t="s">
        <v>1516</v>
      </c>
      <c r="B617">
        <v>51402932224</v>
      </c>
      <c r="C617">
        <v>51901846821</v>
      </c>
      <c r="D617" s="13">
        <f t="shared" si="13"/>
        <v>16.722259345378472</v>
      </c>
      <c r="E617" s="61" t="s">
        <v>1931</v>
      </c>
      <c r="F617" s="65">
        <v>21417.008371219199</v>
      </c>
      <c r="G617" s="6">
        <v>1423</v>
      </c>
      <c r="H617" s="6">
        <v>1365</v>
      </c>
      <c r="I617" s="65">
        <v>7.9703495695973645</v>
      </c>
      <c r="J617" s="6">
        <f>VLOOKUP($D617,Sheet1!$A$5:$C$192,3,TRUE)</f>
        <v>3</v>
      </c>
      <c r="K617" s="42" t="str">
        <f>VLOOKUP($D617,Sheet1!$A$5:$C$192,2,TRUE)</f>
        <v>~|(</v>
      </c>
      <c r="L617" s="6">
        <f>FLOOR(VLOOKUP($D617,Sheet1!$D$5:$F$192,3,TRUE),1)</f>
        <v>7</v>
      </c>
      <c r="M617" s="42" t="str">
        <f>VLOOKUP($D617,Sheet1!$D$5:$F$192,2,TRUE)</f>
        <v>|~</v>
      </c>
      <c r="N617" s="23">
        <f>FLOOR(VLOOKUP($D617,Sheet1!$G$5:$I$192,3,TRUE),1)</f>
        <v>8</v>
      </c>
      <c r="O617" s="42" t="str">
        <f>VLOOKUP($D617,Sheet1!$G$5:$I$192,2,TRUE)</f>
        <v>|~</v>
      </c>
      <c r="P617" s="23">
        <v>1</v>
      </c>
      <c r="Q617" s="43" t="str">
        <f>VLOOKUP($D617,Sheet1!$J$5:$L$192,2,TRUE)</f>
        <v>|~</v>
      </c>
      <c r="R617" s="23">
        <f>FLOOR(VLOOKUP($D617,Sheet1!$M$5:$O$192,3,TRUE),1)</f>
        <v>34</v>
      </c>
      <c r="S617" s="42" t="str">
        <f>VLOOKUP($D617,Sheet1!$M$5:$O$192,2,TRUE)</f>
        <v>'~|(</v>
      </c>
      <c r="T617" s="117">
        <f>IF(ABS(D617-VLOOKUP($D617,Sheet1!$M$5:$T$192,8,TRUE))&lt;10^-10,"SoCA",D617-VLOOKUP($D617,Sheet1!$M$5:$T$192,8,TRUE))</f>
        <v>3.8124730099934112E-2</v>
      </c>
      <c r="U617" s="109" t="str">
        <f>IF(VLOOKUP($D617,Sheet1!$M$5:$U$192,9,TRUE)=0,"",IF(ABS(D617-VLOOKUP($D617,Sheet1!$M$5:$U$192,9,TRUE))&lt;10^-10,"Alt.",D617-VLOOKUP($D617,Sheet1!$M$5:$U$192,9,TRUE)))</f>
        <v/>
      </c>
      <c r="V617" s="132">
        <f>$D617-Sheet1!$M$3*$R617</f>
        <v>0.13303099360934922</v>
      </c>
      <c r="Z617" s="6"/>
      <c r="AA617" s="61"/>
    </row>
    <row r="618" spans="1:27" ht="13.5">
      <c r="A618" t="s">
        <v>1517</v>
      </c>
      <c r="B618">
        <v>8192000000000</v>
      </c>
      <c r="C618">
        <v>8270594829567</v>
      </c>
      <c r="D618" s="13">
        <f t="shared" si="13"/>
        <v>16.530453456477304</v>
      </c>
      <c r="E618" s="61" t="s">
        <v>1931</v>
      </c>
      <c r="F618" s="65">
        <v>2450247.6159946998</v>
      </c>
      <c r="G618" s="6">
        <v>1424</v>
      </c>
      <c r="H618" s="6">
        <v>1366</v>
      </c>
      <c r="I618" s="65">
        <v>7.9821597569639078</v>
      </c>
      <c r="J618" s="6">
        <f>VLOOKUP($D618,Sheet1!$A$5:$C$192,3,TRUE)</f>
        <v>3</v>
      </c>
      <c r="K618" s="42" t="str">
        <f>VLOOKUP($D618,Sheet1!$A$5:$C$192,2,TRUE)</f>
        <v>~|(</v>
      </c>
      <c r="L618" s="6">
        <f>FLOOR(VLOOKUP($D618,Sheet1!$D$5:$F$192,3,TRUE),1)</f>
        <v>7</v>
      </c>
      <c r="M618" s="42" t="str">
        <f>VLOOKUP($D618,Sheet1!$D$5:$F$192,2,TRUE)</f>
        <v>|~</v>
      </c>
      <c r="N618" s="23">
        <f>FLOOR(VLOOKUP($D618,Sheet1!$G$5:$I$192,3,TRUE),1)</f>
        <v>8</v>
      </c>
      <c r="O618" s="42" t="str">
        <f>VLOOKUP($D618,Sheet1!$G$5:$I$192,2,TRUE)</f>
        <v>|~</v>
      </c>
      <c r="P618" s="23">
        <v>1</v>
      </c>
      <c r="Q618" s="43" t="str">
        <f>VLOOKUP($D618,Sheet1!$J$5:$L$192,2,TRUE)</f>
        <v>|~</v>
      </c>
      <c r="R618" s="23">
        <f>FLOOR(VLOOKUP($D618,Sheet1!$M$5:$O$192,3,TRUE),1)</f>
        <v>34</v>
      </c>
      <c r="S618" s="42" t="str">
        <f>VLOOKUP($D618,Sheet1!$M$5:$O$192,2,TRUE)</f>
        <v>|~</v>
      </c>
      <c r="T618" s="117">
        <f>IF(ABS(D618-VLOOKUP($D618,Sheet1!$M$5:$T$192,8,TRUE))&lt;10^-10,"SoCA",D618-VLOOKUP($D618,Sheet1!$M$5:$T$192,8,TRUE))</f>
        <v>-1.3888619613499742E-2</v>
      </c>
      <c r="U618" s="109" t="str">
        <f>IF(VLOOKUP($D618,Sheet1!$M$5:$U$192,9,TRUE)=0,"",IF(ABS(D618-VLOOKUP($D618,Sheet1!$M$5:$U$192,9,TRUE))&lt;10^-10,"Alt.",D618-VLOOKUP($D618,Sheet1!$M$5:$U$192,9,TRUE)))</f>
        <v/>
      </c>
      <c r="V618" s="132">
        <f>$D618-Sheet1!$M$3*$R618</f>
        <v>-5.8774895291819007E-2</v>
      </c>
      <c r="Z618" s="6"/>
      <c r="AA618" s="61"/>
    </row>
    <row r="619" spans="1:27" ht="13.5">
      <c r="A619" s="38" t="s">
        <v>73</v>
      </c>
      <c r="B619" s="87">
        <f>3*13^2</f>
        <v>507</v>
      </c>
      <c r="C619" s="87">
        <f>2^9</f>
        <v>512</v>
      </c>
      <c r="D619" s="13">
        <f t="shared" si="13"/>
        <v>16.989675595991482</v>
      </c>
      <c r="E619" s="61">
        <v>13</v>
      </c>
      <c r="F619" s="65">
        <v>36.456419856293621</v>
      </c>
      <c r="G619" s="6">
        <v>146</v>
      </c>
      <c r="H619" s="6">
        <v>129</v>
      </c>
      <c r="I619" s="65">
        <v>-2.0461162232033221</v>
      </c>
      <c r="J619" s="6">
        <f>VLOOKUP($D619,Sheet1!$A$5:$C$192,3,TRUE)</f>
        <v>3</v>
      </c>
      <c r="K619" s="42" t="str">
        <f>VLOOKUP($D619,Sheet1!$A$5:$C$192,2,TRUE)</f>
        <v>~|(</v>
      </c>
      <c r="L619" s="6">
        <f>FLOOR(VLOOKUP($D619,Sheet1!$D$5:$F$192,3,TRUE),1)</f>
        <v>7</v>
      </c>
      <c r="M619" s="42" t="str">
        <f>VLOOKUP($D619,Sheet1!$D$5:$F$192,2,TRUE)</f>
        <v>|~</v>
      </c>
      <c r="N619" s="23">
        <f>FLOOR(VLOOKUP($D619,Sheet1!$G$5:$I$192,3,TRUE),1)</f>
        <v>8</v>
      </c>
      <c r="O619" s="42" t="str">
        <f>VLOOKUP($D619,Sheet1!$G$5:$I$192,2,TRUE)</f>
        <v>|~</v>
      </c>
      <c r="P619" s="23">
        <v>1</v>
      </c>
      <c r="Q619" s="45" t="str">
        <f>VLOOKUP($D619,Sheet1!$J$5:$L$192,2,TRUE)</f>
        <v>|~'</v>
      </c>
      <c r="R619" s="38">
        <f>FLOOR(VLOOKUP($D619,Sheet1!$M$5:$O$192,3,TRUE),1)</f>
        <v>35</v>
      </c>
      <c r="S619" s="45" t="str">
        <f>VLOOKUP($D619,Sheet1!$M$5:$O$192,2,TRUE)</f>
        <v>|~'</v>
      </c>
      <c r="T619" s="108">
        <f>IF(ABS(D619-VLOOKUP($D619,Sheet1!$M$5:$T$192,8,TRUE))&lt;10^-10,"SoCA",D619-VLOOKUP($D619,Sheet1!$M$5:$T$192,8,TRUE))</f>
        <v>2.261735394585429E-2</v>
      </c>
      <c r="U619" s="108">
        <f>IF(VLOOKUP($D619,Sheet1!$M$5:$U$192,9,TRUE)=0,"",IF(ABS(D619-VLOOKUP($D619,Sheet1!$M$5:$U$192,9,TRUE))&lt;10^-10,"Alt.",D619-VLOOKUP($D619,Sheet1!$M$5:$U$192,9,TRUE)))</f>
        <v>4.9577649148289993E-2</v>
      </c>
      <c r="V619" s="133">
        <f>$D619-Sheet1!$M$3*$R619</f>
        <v>-8.7471236712026723E-2</v>
      </c>
      <c r="Z619" s="6"/>
      <c r="AA619" s="61"/>
    </row>
    <row r="620" spans="1:27" ht="13.5">
      <c r="A620" s="6" t="s">
        <v>1470</v>
      </c>
      <c r="B620" s="6">
        <f>3^8*17</f>
        <v>111537</v>
      </c>
      <c r="C620" s="6">
        <f>2^11*5*11</f>
        <v>112640</v>
      </c>
      <c r="D620" s="13">
        <f t="shared" si="13"/>
        <v>17.03623980608501</v>
      </c>
      <c r="E620" s="61">
        <v>17</v>
      </c>
      <c r="F620" s="65">
        <v>47.315678124385258</v>
      </c>
      <c r="G620" s="6">
        <v>1238</v>
      </c>
      <c r="H620" s="6">
        <v>1319</v>
      </c>
      <c r="I620" s="65">
        <v>-9.0489833512614339</v>
      </c>
      <c r="J620" s="6">
        <f>VLOOKUP($D620,Sheet1!$A$5:$C$192,3,TRUE)</f>
        <v>3</v>
      </c>
      <c r="K620" s="42" t="str">
        <f>VLOOKUP($D620,Sheet1!$A$5:$C$192,2,TRUE)</f>
        <v>~|(</v>
      </c>
      <c r="L620" s="6">
        <f>FLOOR(VLOOKUP($D620,Sheet1!$D$5:$F$192,3,TRUE),1)</f>
        <v>7</v>
      </c>
      <c r="M620" s="42" t="str">
        <f>VLOOKUP($D620,Sheet1!$D$5:$F$192,2,TRUE)</f>
        <v>|~</v>
      </c>
      <c r="N620" s="23">
        <f>FLOOR(VLOOKUP($D620,Sheet1!$G$5:$I$192,3,TRUE),1)</f>
        <v>8</v>
      </c>
      <c r="O620" s="42" t="str">
        <f>VLOOKUP($D620,Sheet1!$G$5:$I$192,2,TRUE)</f>
        <v>|~</v>
      </c>
      <c r="P620" s="23">
        <v>1</v>
      </c>
      <c r="Q620" s="43" t="str">
        <f>VLOOKUP($D620,Sheet1!$J$5:$L$192,2,TRUE)</f>
        <v>|~'</v>
      </c>
      <c r="R620" s="23">
        <f>FLOOR(VLOOKUP($D620,Sheet1!$M$5:$O$192,3,TRUE),1)</f>
        <v>35</v>
      </c>
      <c r="S620" s="42" t="str">
        <f>VLOOKUP($D620,Sheet1!$M$5:$O$192,2,TRUE)</f>
        <v>|~'</v>
      </c>
      <c r="T620" s="117">
        <f>IF(ABS(D620-VLOOKUP($D620,Sheet1!$M$5:$T$192,8,TRUE))&lt;10^-10,"SoCA",D620-VLOOKUP($D620,Sheet1!$M$5:$T$192,8,TRUE))</f>
        <v>6.9181564039382692E-2</v>
      </c>
      <c r="U620" s="109">
        <f>IF(VLOOKUP($D620,Sheet1!$M$5:$U$192,9,TRUE)=0,"",IF(ABS(D620-VLOOKUP($D620,Sheet1!$M$5:$U$192,9,TRUE))&lt;10^-10,"Alt.",D620-VLOOKUP($D620,Sheet1!$M$5:$U$192,9,TRUE)))</f>
        <v>9.6141859241818395E-2</v>
      </c>
      <c r="V620" s="132">
        <f>$D620-Sheet1!$M$3*$R620</f>
        <v>-4.0907026618498321E-2</v>
      </c>
      <c r="Z620" s="6"/>
      <c r="AA620" s="61"/>
    </row>
    <row r="621" spans="1:27" ht="13.5">
      <c r="A621" t="s">
        <v>1123</v>
      </c>
      <c r="B621">
        <v>32000</v>
      </c>
      <c r="C621">
        <v>32319</v>
      </c>
      <c r="D621" s="13">
        <f t="shared" si="13"/>
        <v>17.1727853338603</v>
      </c>
      <c r="E621" s="61">
        <v>19</v>
      </c>
      <c r="F621" s="65">
        <v>49.692186771248679</v>
      </c>
      <c r="G621" s="6">
        <v>1033</v>
      </c>
      <c r="H621" s="6">
        <v>972</v>
      </c>
      <c r="I621" s="65">
        <v>3.9426090431310001</v>
      </c>
      <c r="J621" s="6">
        <f>VLOOKUP($D621,Sheet1!$A$5:$C$192,3,TRUE)</f>
        <v>3</v>
      </c>
      <c r="K621" s="42" t="str">
        <f>VLOOKUP($D621,Sheet1!$A$5:$C$192,2,TRUE)</f>
        <v>~|(</v>
      </c>
      <c r="L621" s="6">
        <f>FLOOR(VLOOKUP($D621,Sheet1!$D$5:$F$192,3,TRUE),1)</f>
        <v>7</v>
      </c>
      <c r="M621" s="42" t="str">
        <f>VLOOKUP($D621,Sheet1!$D$5:$F$192,2,TRUE)</f>
        <v>|~</v>
      </c>
      <c r="N621" s="23">
        <f>FLOOR(VLOOKUP($D621,Sheet1!$G$5:$I$192,3,TRUE),1)</f>
        <v>8</v>
      </c>
      <c r="O621" s="42" t="str">
        <f>VLOOKUP($D621,Sheet1!$G$5:$I$192,2,TRUE)</f>
        <v>|~</v>
      </c>
      <c r="P621" s="23">
        <v>1</v>
      </c>
      <c r="Q621" s="43" t="str">
        <f>VLOOKUP($D621,Sheet1!$J$5:$L$192,2,TRUE)</f>
        <v>|~'</v>
      </c>
      <c r="R621" s="23">
        <f>FLOOR(VLOOKUP($D621,Sheet1!$M$5:$O$192,3,TRUE),1)</f>
        <v>35</v>
      </c>
      <c r="S621" s="42" t="str">
        <f>VLOOKUP($D621,Sheet1!$M$5:$O$192,2,TRUE)</f>
        <v>|~'</v>
      </c>
      <c r="T621" s="117">
        <f>IF(ABS(D621-VLOOKUP($D621,Sheet1!$M$5:$T$192,8,TRUE))&lt;10^-10,"SoCA",D621-VLOOKUP($D621,Sheet1!$M$5:$T$192,8,TRUE))</f>
        <v>0.20572709181467275</v>
      </c>
      <c r="U621" s="109">
        <f>IF(VLOOKUP($D621,Sheet1!$M$5:$U$192,9,TRUE)=0,"",IF(ABS(D621-VLOOKUP($D621,Sheet1!$M$5:$U$192,9,TRUE))&lt;10^-10,"Alt.",D621-VLOOKUP($D621,Sheet1!$M$5:$U$192,9,TRUE)))</f>
        <v>0.23268738701710845</v>
      </c>
      <c r="V621" s="132">
        <f>$D621-Sheet1!$M$3*$R621</f>
        <v>9.5638501156791733E-2</v>
      </c>
      <c r="Z621" s="6"/>
      <c r="AA621" s="61"/>
    </row>
    <row r="622" spans="1:27" ht="13.5">
      <c r="A622" s="23" t="s">
        <v>528</v>
      </c>
      <c r="B622" s="23">
        <f>2^13*7</f>
        <v>57344</v>
      </c>
      <c r="C622" s="23">
        <f>3^4*5*11*13</f>
        <v>57915</v>
      </c>
      <c r="D622" s="13">
        <f t="shared" si="13"/>
        <v>17.153414991327026</v>
      </c>
      <c r="E622" s="61">
        <v>13</v>
      </c>
      <c r="F622" s="65">
        <v>50.638069274671395</v>
      </c>
      <c r="G622" s="6">
        <v>406</v>
      </c>
      <c r="H622" s="6">
        <v>371</v>
      </c>
      <c r="I622" s="65">
        <v>2.9438017456907737</v>
      </c>
      <c r="J622" s="6">
        <f>VLOOKUP($D622,Sheet1!$A$5:$C$192,3,TRUE)</f>
        <v>3</v>
      </c>
      <c r="K622" s="42" t="str">
        <f>VLOOKUP($D622,Sheet1!$A$5:$C$192,2,TRUE)</f>
        <v>~|(</v>
      </c>
      <c r="L622" s="6">
        <f>FLOOR(VLOOKUP($D622,Sheet1!$D$5:$F$192,3,TRUE),1)</f>
        <v>7</v>
      </c>
      <c r="M622" s="42" t="str">
        <f>VLOOKUP($D622,Sheet1!$D$5:$F$192,2,TRUE)</f>
        <v>|~</v>
      </c>
      <c r="N622" s="23">
        <f>FLOOR(VLOOKUP($D622,Sheet1!$G$5:$I$192,3,TRUE),1)</f>
        <v>8</v>
      </c>
      <c r="O622" s="42" t="str">
        <f>VLOOKUP($D622,Sheet1!$G$5:$I$192,2,TRUE)</f>
        <v>|~</v>
      </c>
      <c r="P622" s="23">
        <v>1</v>
      </c>
      <c r="Q622" s="43" t="str">
        <f>VLOOKUP($D622,Sheet1!$J$5:$L$192,2,TRUE)</f>
        <v>|~'</v>
      </c>
      <c r="R622" s="23">
        <f>FLOOR(VLOOKUP($D622,Sheet1!$M$5:$O$192,3,TRUE),1)</f>
        <v>35</v>
      </c>
      <c r="S622" s="43" t="str">
        <f>VLOOKUP($D622,Sheet1!$M$5:$O$192,2,TRUE)</f>
        <v>|~'</v>
      </c>
      <c r="T622" s="117">
        <f>IF(ABS(D622-VLOOKUP($D622,Sheet1!$M$5:$T$192,8,TRUE))&lt;10^-10,"SoCA",D622-VLOOKUP($D622,Sheet1!$M$5:$T$192,8,TRUE))</f>
        <v>0.18635674928139778</v>
      </c>
      <c r="U622" s="117">
        <f>IF(VLOOKUP($D622,Sheet1!$M$5:$U$192,9,TRUE)=0,"",IF(ABS(D622-VLOOKUP($D622,Sheet1!$M$5:$U$192,9,TRUE))&lt;10^-10,"Alt.",D622-VLOOKUP($D622,Sheet1!$M$5:$U$192,9,TRUE)))</f>
        <v>0.21331704448383348</v>
      </c>
      <c r="V622" s="132">
        <f>$D622-Sheet1!$M$3*$R622</f>
        <v>7.6268158623516769E-2</v>
      </c>
      <c r="Z622" s="6"/>
      <c r="AA622" s="61"/>
    </row>
    <row r="623" spans="1:27" ht="13.5">
      <c r="A623" t="s">
        <v>1129</v>
      </c>
      <c r="B623">
        <v>1925</v>
      </c>
      <c r="C623">
        <v>1944</v>
      </c>
      <c r="D623" s="13">
        <f t="shared" si="13"/>
        <v>17.003727763385712</v>
      </c>
      <c r="E623" s="61">
        <v>11</v>
      </c>
      <c r="F623" s="65">
        <v>50.846123211991205</v>
      </c>
      <c r="G623" s="6">
        <v>1038</v>
      </c>
      <c r="H623" s="6">
        <v>978</v>
      </c>
      <c r="I623" s="65">
        <v>3.9530185336553822</v>
      </c>
      <c r="J623" s="6">
        <f>VLOOKUP($D623,Sheet1!$A$5:$C$192,3,TRUE)</f>
        <v>3</v>
      </c>
      <c r="K623" s="42" t="str">
        <f>VLOOKUP($D623,Sheet1!$A$5:$C$192,2,TRUE)</f>
        <v>~|(</v>
      </c>
      <c r="L623" s="6">
        <f>FLOOR(VLOOKUP($D623,Sheet1!$D$5:$F$192,3,TRUE),1)</f>
        <v>7</v>
      </c>
      <c r="M623" s="42" t="str">
        <f>VLOOKUP($D623,Sheet1!$D$5:$F$192,2,TRUE)</f>
        <v>|~</v>
      </c>
      <c r="N623" s="23">
        <f>FLOOR(VLOOKUP($D623,Sheet1!$G$5:$I$192,3,TRUE),1)</f>
        <v>8</v>
      </c>
      <c r="O623" s="42" t="str">
        <f>VLOOKUP($D623,Sheet1!$G$5:$I$192,2,TRUE)</f>
        <v>|~</v>
      </c>
      <c r="P623" s="23">
        <v>1</v>
      </c>
      <c r="Q623" s="43" t="str">
        <f>VLOOKUP($D623,Sheet1!$J$5:$L$192,2,TRUE)</f>
        <v>|~'</v>
      </c>
      <c r="R623" s="23">
        <f>FLOOR(VLOOKUP($D623,Sheet1!$M$5:$O$192,3,TRUE),1)</f>
        <v>35</v>
      </c>
      <c r="S623" s="42" t="str">
        <f>VLOOKUP($D623,Sheet1!$M$5:$O$192,2,TRUE)</f>
        <v>|~'</v>
      </c>
      <c r="T623" s="117">
        <f>IF(ABS(D623-VLOOKUP($D623,Sheet1!$M$5:$T$192,8,TRUE))&lt;10^-10,"SoCA",D623-VLOOKUP($D623,Sheet1!$M$5:$T$192,8,TRUE))</f>
        <v>3.6669521340083833E-2</v>
      </c>
      <c r="U623" s="109">
        <f>IF(VLOOKUP($D623,Sheet1!$M$5:$U$192,9,TRUE)=0,"",IF(ABS(D623-VLOOKUP($D623,Sheet1!$M$5:$U$192,9,TRUE))&lt;10^-10,"Alt.",D623-VLOOKUP($D623,Sheet1!$M$5:$U$192,9,TRUE)))</f>
        <v>6.3629816542519535E-2</v>
      </c>
      <c r="V623" s="132">
        <f>$D623-Sheet1!$M$3*$R623</f>
        <v>-7.3419069317797181E-2</v>
      </c>
      <c r="Z623" s="6"/>
      <c r="AA623" s="61"/>
    </row>
    <row r="624" spans="1:27" ht="13.5">
      <c r="A624" t="s">
        <v>732</v>
      </c>
      <c r="B624">
        <v>188416</v>
      </c>
      <c r="C624">
        <v>190269</v>
      </c>
      <c r="D624" s="13">
        <f t="shared" si="13"/>
        <v>16.942853807770373</v>
      </c>
      <c r="E624" s="61">
        <v>29</v>
      </c>
      <c r="F624" s="65">
        <v>56.189320455957777</v>
      </c>
      <c r="G624" s="6">
        <v>594</v>
      </c>
      <c r="H624" s="6">
        <v>577</v>
      </c>
      <c r="I624" s="65">
        <v>6.9567667648785134</v>
      </c>
      <c r="J624" s="6">
        <f>VLOOKUP($D624,Sheet1!$A$5:$C$192,3,TRUE)</f>
        <v>3</v>
      </c>
      <c r="K624" s="42" t="str">
        <f>VLOOKUP($D624,Sheet1!$A$5:$C$192,2,TRUE)</f>
        <v>~|(</v>
      </c>
      <c r="L624" s="6">
        <f>FLOOR(VLOOKUP($D624,Sheet1!$D$5:$F$192,3,TRUE),1)</f>
        <v>7</v>
      </c>
      <c r="M624" s="42" t="str">
        <f>VLOOKUP($D624,Sheet1!$D$5:$F$192,2,TRUE)</f>
        <v>|~</v>
      </c>
      <c r="N624" s="23">
        <f>FLOOR(VLOOKUP($D624,Sheet1!$G$5:$I$192,3,TRUE),1)</f>
        <v>8</v>
      </c>
      <c r="O624" s="42" t="str">
        <f>VLOOKUP($D624,Sheet1!$G$5:$I$192,2,TRUE)</f>
        <v>|~</v>
      </c>
      <c r="P624" s="23">
        <v>1</v>
      </c>
      <c r="Q624" s="43" t="str">
        <f>VLOOKUP($D624,Sheet1!$J$5:$L$192,2,TRUE)</f>
        <v>|~'</v>
      </c>
      <c r="R624" s="23">
        <f>FLOOR(VLOOKUP($D624,Sheet1!$M$5:$O$192,3,TRUE),1)</f>
        <v>35</v>
      </c>
      <c r="S624" s="42" t="str">
        <f>VLOOKUP($D624,Sheet1!$M$5:$O$192,2,TRUE)</f>
        <v>|~'</v>
      </c>
      <c r="T624" s="117">
        <f>IF(ABS(D624-VLOOKUP($D624,Sheet1!$M$5:$T$192,8,TRUE))&lt;10^-10,"SoCA",D624-VLOOKUP($D624,Sheet1!$M$5:$T$192,8,TRUE))</f>
        <v>-2.4204434275254982E-2</v>
      </c>
      <c r="U624" s="109">
        <f>IF(VLOOKUP($D624,Sheet1!$M$5:$U$192,9,TRUE)=0,"",IF(ABS(D624-VLOOKUP($D624,Sheet1!$M$5:$U$192,9,TRUE))&lt;10^-10,"Alt.",D624-VLOOKUP($D624,Sheet1!$M$5:$U$192,9,TRUE)))</f>
        <v>2.75586092718072E-3</v>
      </c>
      <c r="V624" s="132">
        <f>$D624-Sheet1!$M$3*$R624</f>
        <v>-0.134293024933136</v>
      </c>
      <c r="Z624" s="6"/>
      <c r="AA624" s="61"/>
    </row>
    <row r="625" spans="1:27" ht="13.5">
      <c r="A625" s="6" t="s">
        <v>1840</v>
      </c>
      <c r="B625">
        <v>1476225</v>
      </c>
      <c r="C625">
        <v>1490944</v>
      </c>
      <c r="D625" s="13">
        <f t="shared" si="13"/>
        <v>17.176131854891842</v>
      </c>
      <c r="E625" s="61">
        <v>13</v>
      </c>
      <c r="F625" s="65">
        <v>60.206279280301473</v>
      </c>
      <c r="G625" s="59">
        <v>1650</v>
      </c>
      <c r="H625" s="63">
        <v>1000045</v>
      </c>
      <c r="I625" s="65">
        <v>-11.057597014360953</v>
      </c>
      <c r="J625" s="6">
        <f>VLOOKUP($D625,Sheet1!$A$5:$C$192,3,TRUE)</f>
        <v>3</v>
      </c>
      <c r="K625" s="42" t="str">
        <f>VLOOKUP($D625,Sheet1!$A$5:$C$192,2,TRUE)</f>
        <v>~|(</v>
      </c>
      <c r="L625" s="6">
        <f>FLOOR(VLOOKUP($D625,Sheet1!$D$5:$F$192,3,TRUE),1)</f>
        <v>7</v>
      </c>
      <c r="M625" s="42" t="str">
        <f>VLOOKUP($D625,Sheet1!$D$5:$F$192,2,TRUE)</f>
        <v>|~</v>
      </c>
      <c r="N625" s="23">
        <f>FLOOR(VLOOKUP($D625,Sheet1!$G$5:$I$192,3,TRUE),1)</f>
        <v>8</v>
      </c>
      <c r="O625" s="42" t="str">
        <f>VLOOKUP($D625,Sheet1!$G$5:$I$192,2,TRUE)</f>
        <v>|~</v>
      </c>
      <c r="P625" s="23">
        <v>1</v>
      </c>
      <c r="Q625" s="43" t="str">
        <f>VLOOKUP($D625,Sheet1!$J$5:$L$192,2,TRUE)</f>
        <v>|~'</v>
      </c>
      <c r="R625" s="23">
        <f>FLOOR(VLOOKUP($D625,Sheet1!$M$5:$O$192,3,TRUE),1)</f>
        <v>35</v>
      </c>
      <c r="S625" s="42" t="str">
        <f>VLOOKUP($D625,Sheet1!$M$5:$O$192,2,TRUE)</f>
        <v>|~'</v>
      </c>
      <c r="T625" s="117">
        <f>IF(ABS(D625-VLOOKUP($D625,Sheet1!$M$5:$T$192,8,TRUE))&lt;10^-10,"SoCA",D625-VLOOKUP($D625,Sheet1!$M$5:$T$192,8,TRUE))</f>
        <v>0.20907361284621473</v>
      </c>
      <c r="U625" s="109">
        <f>IF(VLOOKUP($D625,Sheet1!$M$5:$U$192,9,TRUE)=0,"",IF(ABS(D625-VLOOKUP($D625,Sheet1!$M$5:$U$192,9,TRUE))&lt;10^-10,"Alt.",D625-VLOOKUP($D625,Sheet1!$M$5:$U$192,9,TRUE)))</f>
        <v>0.23603390804865043</v>
      </c>
      <c r="V625" s="132">
        <f>$D625-Sheet1!$M$3*$R625</f>
        <v>9.8985022188333716E-2</v>
      </c>
      <c r="Z625" s="6"/>
      <c r="AA625" s="61"/>
    </row>
    <row r="626" spans="1:27" ht="13.5">
      <c r="A626" s="6" t="s">
        <v>354</v>
      </c>
      <c r="B626" s="6">
        <f>2^7*47</f>
        <v>6016</v>
      </c>
      <c r="C626" s="6">
        <f>3^5*5^2</f>
        <v>6075</v>
      </c>
      <c r="D626" s="13">
        <f t="shared" si="13"/>
        <v>16.895810043441827</v>
      </c>
      <c r="E626" s="61">
        <v>47</v>
      </c>
      <c r="F626" s="65">
        <v>68.935641637436831</v>
      </c>
      <c r="G626" s="6">
        <v>199</v>
      </c>
      <c r="H626" s="6">
        <v>189</v>
      </c>
      <c r="I626" s="65">
        <v>3.9596634208379866</v>
      </c>
      <c r="J626" s="6">
        <f>VLOOKUP($D626,Sheet1!$A$5:$C$192,3,TRUE)</f>
        <v>3</v>
      </c>
      <c r="K626" s="42" t="str">
        <f>VLOOKUP($D626,Sheet1!$A$5:$C$192,2,TRUE)</f>
        <v>~|(</v>
      </c>
      <c r="L626" s="6">
        <f>FLOOR(VLOOKUP($D626,Sheet1!$D$5:$F$192,3,TRUE),1)</f>
        <v>7</v>
      </c>
      <c r="M626" s="42" t="str">
        <f>VLOOKUP($D626,Sheet1!$D$5:$F$192,2,TRUE)</f>
        <v>|~</v>
      </c>
      <c r="N626" s="23">
        <f>FLOOR(VLOOKUP($D626,Sheet1!$G$5:$I$192,3,TRUE),1)</f>
        <v>8</v>
      </c>
      <c r="O626" s="42" t="str">
        <f>VLOOKUP($D626,Sheet1!$G$5:$I$192,2,TRUE)</f>
        <v>|~</v>
      </c>
      <c r="P626" s="23">
        <v>1</v>
      </c>
      <c r="Q626" s="43" t="str">
        <f>VLOOKUP($D626,Sheet1!$J$5:$L$192,2,TRUE)</f>
        <v>|~'</v>
      </c>
      <c r="R626" s="23">
        <f>FLOOR(VLOOKUP($D626,Sheet1!$M$5:$O$192,3,TRUE),1)</f>
        <v>35</v>
      </c>
      <c r="S626" s="42" t="str">
        <f>VLOOKUP($D626,Sheet1!$M$5:$O$192,2,TRUE)</f>
        <v>|~'</v>
      </c>
      <c r="T626" s="117">
        <f>IF(ABS(D626-VLOOKUP($D626,Sheet1!$M$5:$T$192,8,TRUE))&lt;10^-10,"SoCA",D626-VLOOKUP($D626,Sheet1!$M$5:$T$192,8,TRUE))</f>
        <v>-7.1248198603800716E-2</v>
      </c>
      <c r="U626" s="109">
        <f>IF(VLOOKUP($D626,Sheet1!$M$5:$U$192,9,TRUE)=0,"",IF(ABS(D626-VLOOKUP($D626,Sheet1!$M$5:$U$192,9,TRUE))&lt;10^-10,"Alt.",D626-VLOOKUP($D626,Sheet1!$M$5:$U$192,9,TRUE)))</f>
        <v>-4.4287903401365014E-2</v>
      </c>
      <c r="V626" s="132">
        <f>$D626-Sheet1!$M$3*$R626</f>
        <v>-0.18133678926168173</v>
      </c>
      <c r="Z626" s="6"/>
      <c r="AA626" s="61"/>
    </row>
    <row r="627" spans="1:27" ht="13.5">
      <c r="A627" t="s">
        <v>819</v>
      </c>
      <c r="B627">
        <v>713</v>
      </c>
      <c r="C627">
        <v>720</v>
      </c>
      <c r="D627" s="13">
        <f t="shared" si="13"/>
        <v>16.913795862943907</v>
      </c>
      <c r="E627" s="61">
        <v>31</v>
      </c>
      <c r="F627" s="65">
        <v>70.867485660028024</v>
      </c>
      <c r="G627" s="6">
        <v>693</v>
      </c>
      <c r="H627" s="6">
        <v>666</v>
      </c>
      <c r="I627" s="65">
        <v>0.95855596840533575</v>
      </c>
      <c r="J627" s="6">
        <f>VLOOKUP($D627,Sheet1!$A$5:$C$192,3,TRUE)</f>
        <v>3</v>
      </c>
      <c r="K627" s="42" t="str">
        <f>VLOOKUP($D627,Sheet1!$A$5:$C$192,2,TRUE)</f>
        <v>~|(</v>
      </c>
      <c r="L627" s="6">
        <f>FLOOR(VLOOKUP($D627,Sheet1!$D$5:$F$192,3,TRUE),1)</f>
        <v>7</v>
      </c>
      <c r="M627" s="42" t="str">
        <f>VLOOKUP($D627,Sheet1!$D$5:$F$192,2,TRUE)</f>
        <v>|~</v>
      </c>
      <c r="N627" s="23">
        <f>FLOOR(VLOOKUP($D627,Sheet1!$G$5:$I$192,3,TRUE),1)</f>
        <v>8</v>
      </c>
      <c r="O627" s="42" t="str">
        <f>VLOOKUP($D627,Sheet1!$G$5:$I$192,2,TRUE)</f>
        <v>|~</v>
      </c>
      <c r="P627" s="23">
        <v>1</v>
      </c>
      <c r="Q627" s="43" t="str">
        <f>VLOOKUP($D627,Sheet1!$J$5:$L$192,2,TRUE)</f>
        <v>|~'</v>
      </c>
      <c r="R627" s="23">
        <f>FLOOR(VLOOKUP($D627,Sheet1!$M$5:$O$192,3,TRUE),1)</f>
        <v>35</v>
      </c>
      <c r="S627" s="42" t="str">
        <f>VLOOKUP($D627,Sheet1!$M$5:$O$192,2,TRUE)</f>
        <v>|~'</v>
      </c>
      <c r="T627" s="117">
        <f>IF(ABS(D627-VLOOKUP($D627,Sheet1!$M$5:$T$192,8,TRUE))&lt;10^-10,"SoCA",D627-VLOOKUP($D627,Sheet1!$M$5:$T$192,8,TRUE))</f>
        <v>-5.3262379101720825E-2</v>
      </c>
      <c r="U627" s="109">
        <f>IF(VLOOKUP($D627,Sheet1!$M$5:$U$192,9,TRUE)=0,"",IF(ABS(D627-VLOOKUP($D627,Sheet1!$M$5:$U$192,9,TRUE))&lt;10^-10,"Alt.",D627-VLOOKUP($D627,Sheet1!$M$5:$U$192,9,TRUE)))</f>
        <v>-2.6302083899285122E-2</v>
      </c>
      <c r="V627" s="132">
        <f>$D627-Sheet1!$M$3*$R627</f>
        <v>-0.16335096975960184</v>
      </c>
      <c r="Z627" s="6"/>
      <c r="AA627" s="61"/>
    </row>
    <row r="628" spans="1:27" ht="13.5">
      <c r="A628" t="s">
        <v>1062</v>
      </c>
      <c r="B628">
        <v>227392</v>
      </c>
      <c r="C628">
        <v>229635</v>
      </c>
      <c r="D628" s="13">
        <f t="shared" si="13"/>
        <v>16.993259259592666</v>
      </c>
      <c r="E628" s="61">
        <v>19</v>
      </c>
      <c r="F628" s="65">
        <v>75.114300738507524</v>
      </c>
      <c r="G628" s="6">
        <v>835</v>
      </c>
      <c r="H628" s="6">
        <v>911</v>
      </c>
      <c r="I628" s="65">
        <v>6.9536631175727557</v>
      </c>
      <c r="J628" s="6">
        <f>VLOOKUP($D628,Sheet1!$A$5:$C$192,3,TRUE)</f>
        <v>3</v>
      </c>
      <c r="K628" s="42" t="str">
        <f>VLOOKUP($D628,Sheet1!$A$5:$C$192,2,TRUE)</f>
        <v>~|(</v>
      </c>
      <c r="L628" s="6">
        <f>FLOOR(VLOOKUP($D628,Sheet1!$D$5:$F$192,3,TRUE),1)</f>
        <v>7</v>
      </c>
      <c r="M628" s="42" t="str">
        <f>VLOOKUP($D628,Sheet1!$D$5:$F$192,2,TRUE)</f>
        <v>|~</v>
      </c>
      <c r="N628" s="23">
        <f>FLOOR(VLOOKUP($D628,Sheet1!$G$5:$I$192,3,TRUE),1)</f>
        <v>8</v>
      </c>
      <c r="O628" s="42" t="str">
        <f>VLOOKUP($D628,Sheet1!$G$5:$I$192,2,TRUE)</f>
        <v>|~</v>
      </c>
      <c r="P628" s="23">
        <v>1</v>
      </c>
      <c r="Q628" s="43" t="str">
        <f>VLOOKUP($D628,Sheet1!$J$5:$L$192,2,TRUE)</f>
        <v>|~'</v>
      </c>
      <c r="R628" s="23">
        <f>FLOOR(VLOOKUP($D628,Sheet1!$M$5:$O$192,3,TRUE),1)</f>
        <v>35</v>
      </c>
      <c r="S628" s="42" t="str">
        <f>VLOOKUP($D628,Sheet1!$M$5:$O$192,2,TRUE)</f>
        <v>|~'</v>
      </c>
      <c r="T628" s="117">
        <f>IF(ABS(D628-VLOOKUP($D628,Sheet1!$M$5:$T$192,8,TRUE))&lt;10^-10,"SoCA",D628-VLOOKUP($D628,Sheet1!$M$5:$T$192,8,TRUE))</f>
        <v>2.6201017547037964E-2</v>
      </c>
      <c r="U628" s="109">
        <f>IF(VLOOKUP($D628,Sheet1!$M$5:$U$192,9,TRUE)=0,"",IF(ABS(D628-VLOOKUP($D628,Sheet1!$M$5:$U$192,9,TRUE))&lt;10^-10,"Alt.",D628-VLOOKUP($D628,Sheet1!$M$5:$U$192,9,TRUE)))</f>
        <v>5.3161312749473666E-2</v>
      </c>
      <c r="V628" s="132">
        <f>$D628-Sheet1!$M$3*$R628</f>
        <v>-8.388757311084305E-2</v>
      </c>
      <c r="Z628" s="6"/>
      <c r="AA628" s="61"/>
    </row>
    <row r="629" spans="1:27" ht="13.5">
      <c r="A629" t="s">
        <v>433</v>
      </c>
      <c r="B629">
        <v>704</v>
      </c>
      <c r="C629">
        <v>711</v>
      </c>
      <c r="D629" s="13">
        <f t="shared" si="13"/>
        <v>17.128957178541743</v>
      </c>
      <c r="E629" s="61" t="s">
        <v>1931</v>
      </c>
      <c r="F629" s="65">
        <v>90.074009519941043</v>
      </c>
      <c r="G629" s="6">
        <v>301</v>
      </c>
      <c r="H629" s="6">
        <v>271</v>
      </c>
      <c r="I629" s="65">
        <v>0.94530770232862649</v>
      </c>
      <c r="J629" s="6">
        <f>VLOOKUP($D629,Sheet1!$A$5:$C$192,3,TRUE)</f>
        <v>3</v>
      </c>
      <c r="K629" s="42" t="str">
        <f>VLOOKUP($D629,Sheet1!$A$5:$C$192,2,TRUE)</f>
        <v>~|(</v>
      </c>
      <c r="L629" s="6">
        <f>FLOOR(VLOOKUP($D629,Sheet1!$D$5:$F$192,3,TRUE),1)</f>
        <v>7</v>
      </c>
      <c r="M629" s="42" t="str">
        <f>VLOOKUP($D629,Sheet1!$D$5:$F$192,2,TRUE)</f>
        <v>|~</v>
      </c>
      <c r="N629" s="23">
        <f>FLOOR(VLOOKUP($D629,Sheet1!$G$5:$I$192,3,TRUE),1)</f>
        <v>8</v>
      </c>
      <c r="O629" s="42" t="str">
        <f>VLOOKUP($D629,Sheet1!$G$5:$I$192,2,TRUE)</f>
        <v>|~</v>
      </c>
      <c r="P629" s="23">
        <v>1</v>
      </c>
      <c r="Q629" s="43" t="str">
        <f>VLOOKUP($D629,Sheet1!$J$5:$L$192,2,TRUE)</f>
        <v>|~'</v>
      </c>
      <c r="R629" s="23">
        <f>FLOOR(VLOOKUP($D629,Sheet1!$M$5:$O$192,3,TRUE),1)</f>
        <v>35</v>
      </c>
      <c r="S629" s="42" t="str">
        <f>VLOOKUP($D629,Sheet1!$M$5:$O$192,2,TRUE)</f>
        <v>|~'</v>
      </c>
      <c r="T629" s="117">
        <f>IF(ABS(D629-VLOOKUP($D629,Sheet1!$M$5:$T$192,8,TRUE))&lt;10^-10,"SoCA",D629-VLOOKUP($D629,Sheet1!$M$5:$T$192,8,TRUE))</f>
        <v>0.1618989364961152</v>
      </c>
      <c r="U629" s="109">
        <f>IF(VLOOKUP($D629,Sheet1!$M$5:$U$192,9,TRUE)=0,"",IF(ABS(D629-VLOOKUP($D629,Sheet1!$M$5:$U$192,9,TRUE))&lt;10^-10,"Alt.",D629-VLOOKUP($D629,Sheet1!$M$5:$U$192,9,TRUE)))</f>
        <v>0.1888592316985509</v>
      </c>
      <c r="V629" s="132">
        <f>$D629-Sheet1!$M$3*$R629</f>
        <v>5.1810345838234184E-2</v>
      </c>
      <c r="Z629" s="6"/>
      <c r="AA629" s="61"/>
    </row>
    <row r="630" spans="1:27" ht="13.5">
      <c r="A630" s="6" t="s">
        <v>309</v>
      </c>
      <c r="B630" s="6">
        <f>2^20</f>
        <v>1048576</v>
      </c>
      <c r="C630" s="6">
        <f>3^2*7^6</f>
        <v>1058841</v>
      </c>
      <c r="D630" s="13">
        <f t="shared" si="13"/>
        <v>16.865440545524411</v>
      </c>
      <c r="E630" s="61">
        <v>7</v>
      </c>
      <c r="F630" s="65">
        <v>92.46216465292234</v>
      </c>
      <c r="G630" s="6">
        <v>155</v>
      </c>
      <c r="H630" s="6">
        <v>139</v>
      </c>
      <c r="I630" s="65">
        <v>0.96153338146686673</v>
      </c>
      <c r="J630" s="6">
        <f>VLOOKUP($D630,Sheet1!$A$5:$C$192,3,TRUE)</f>
        <v>3</v>
      </c>
      <c r="K630" s="42" t="str">
        <f>VLOOKUP($D630,Sheet1!$A$5:$C$192,2,TRUE)</f>
        <v>~|(</v>
      </c>
      <c r="L630" s="6">
        <f>FLOOR(VLOOKUP($D630,Sheet1!$D$5:$F$192,3,TRUE),1)</f>
        <v>7</v>
      </c>
      <c r="M630" s="42" t="str">
        <f>VLOOKUP($D630,Sheet1!$D$5:$F$192,2,TRUE)</f>
        <v>|~</v>
      </c>
      <c r="N630" s="23">
        <f>FLOOR(VLOOKUP($D630,Sheet1!$G$5:$I$192,3,TRUE),1)</f>
        <v>8</v>
      </c>
      <c r="O630" s="42" t="str">
        <f>VLOOKUP($D630,Sheet1!$G$5:$I$192,2,TRUE)</f>
        <v>|~</v>
      </c>
      <c r="P630" s="23">
        <v>1</v>
      </c>
      <c r="Q630" s="43" t="str">
        <f>VLOOKUP($D630,Sheet1!$J$5:$L$192,2,TRUE)</f>
        <v>|~'</v>
      </c>
      <c r="R630" s="23">
        <f>FLOOR(VLOOKUP($D630,Sheet1!$M$5:$O$192,3,TRUE),1)</f>
        <v>35</v>
      </c>
      <c r="S630" s="42" t="str">
        <f>VLOOKUP($D630,Sheet1!$M$5:$O$192,2,TRUE)</f>
        <v>|~'</v>
      </c>
      <c r="T630" s="117">
        <f>IF(ABS(D630-VLOOKUP($D630,Sheet1!$M$5:$T$192,8,TRUE))&lt;10^-10,"SoCA",D630-VLOOKUP($D630,Sheet1!$M$5:$T$192,8,TRUE))</f>
        <v>-0.10161769652121677</v>
      </c>
      <c r="U630" s="109">
        <f>IF(VLOOKUP($D630,Sheet1!$M$5:$U$192,9,TRUE)=0,"",IF(ABS(D630-VLOOKUP($D630,Sheet1!$M$5:$U$192,9,TRUE))&lt;10^-10,"Alt.",D630-VLOOKUP($D630,Sheet1!$M$5:$U$192,9,TRUE)))</f>
        <v>-7.4657401318781069E-2</v>
      </c>
      <c r="V630" s="132">
        <f>$D630-Sheet1!$M$3*$R630</f>
        <v>-0.21170628717909779</v>
      </c>
      <c r="Z630" s="6"/>
      <c r="AA630" s="61"/>
    </row>
    <row r="631" spans="1:27" ht="13.5">
      <c r="A631" t="s">
        <v>1215</v>
      </c>
      <c r="B631">
        <v>44032</v>
      </c>
      <c r="C631">
        <v>44469</v>
      </c>
      <c r="D631" s="13">
        <f t="shared" si="13"/>
        <v>17.09710462527045</v>
      </c>
      <c r="E631" s="61" t="s">
        <v>1931</v>
      </c>
      <c r="F631" s="65">
        <v>105.22178720795273</v>
      </c>
      <c r="G631" s="6">
        <v>1122</v>
      </c>
      <c r="H631" s="6">
        <v>1064</v>
      </c>
      <c r="I631" s="65">
        <v>4.9472689800787091</v>
      </c>
      <c r="J631" s="6">
        <f>VLOOKUP($D631,Sheet1!$A$5:$C$192,3,TRUE)</f>
        <v>3</v>
      </c>
      <c r="K631" s="42" t="str">
        <f>VLOOKUP($D631,Sheet1!$A$5:$C$192,2,TRUE)</f>
        <v>~|(</v>
      </c>
      <c r="L631" s="6">
        <f>FLOOR(VLOOKUP($D631,Sheet1!$D$5:$F$192,3,TRUE),1)</f>
        <v>7</v>
      </c>
      <c r="M631" s="42" t="str">
        <f>VLOOKUP($D631,Sheet1!$D$5:$F$192,2,TRUE)</f>
        <v>|~</v>
      </c>
      <c r="N631" s="23">
        <f>FLOOR(VLOOKUP($D631,Sheet1!$G$5:$I$192,3,TRUE),1)</f>
        <v>8</v>
      </c>
      <c r="O631" s="42" t="str">
        <f>VLOOKUP($D631,Sheet1!$G$5:$I$192,2,TRUE)</f>
        <v>|~</v>
      </c>
      <c r="P631" s="23">
        <v>1</v>
      </c>
      <c r="Q631" s="43" t="str">
        <f>VLOOKUP($D631,Sheet1!$J$5:$L$192,2,TRUE)</f>
        <v>|~'</v>
      </c>
      <c r="R631" s="23">
        <f>FLOOR(VLOOKUP($D631,Sheet1!$M$5:$O$192,3,TRUE),1)</f>
        <v>35</v>
      </c>
      <c r="S631" s="42" t="str">
        <f>VLOOKUP($D631,Sheet1!$M$5:$O$192,2,TRUE)</f>
        <v>|~'</v>
      </c>
      <c r="T631" s="117">
        <f>IF(ABS(D631-VLOOKUP($D631,Sheet1!$M$5:$T$192,8,TRUE))&lt;10^-10,"SoCA",D631-VLOOKUP($D631,Sheet1!$M$5:$T$192,8,TRUE))</f>
        <v>0.13004638322482265</v>
      </c>
      <c r="U631" s="109">
        <f>IF(VLOOKUP($D631,Sheet1!$M$5:$U$192,9,TRUE)=0,"",IF(ABS(D631-VLOOKUP($D631,Sheet1!$M$5:$U$192,9,TRUE))&lt;10^-10,"Alt.",D631-VLOOKUP($D631,Sheet1!$M$5:$U$192,9,TRUE)))</f>
        <v>0.15700667842725835</v>
      </c>
      <c r="V631" s="132">
        <f>$D631-Sheet1!$M$3*$R631</f>
        <v>1.9957792566941635E-2</v>
      </c>
      <c r="Z631" s="6"/>
      <c r="AA631" s="61"/>
    </row>
    <row r="632" spans="1:27" ht="13.5">
      <c r="A632" t="s">
        <v>1682</v>
      </c>
      <c r="B632">
        <v>1200663</v>
      </c>
      <c r="C632">
        <v>1212416</v>
      </c>
      <c r="D632" s="13">
        <f t="shared" si="13"/>
        <v>16.86422589078947</v>
      </c>
      <c r="E632" s="61" t="s">
        <v>1931</v>
      </c>
      <c r="F632" s="65">
        <v>117.88935663047475</v>
      </c>
      <c r="G632" s="6">
        <v>1453</v>
      </c>
      <c r="H632" s="6">
        <v>1531</v>
      </c>
      <c r="I632" s="65">
        <v>-10.038391827815875</v>
      </c>
      <c r="J632" s="6">
        <f>VLOOKUP($D632,Sheet1!$A$5:$C$192,3,TRUE)</f>
        <v>3</v>
      </c>
      <c r="K632" s="42" t="str">
        <f>VLOOKUP($D632,Sheet1!$A$5:$C$192,2,TRUE)</f>
        <v>~|(</v>
      </c>
      <c r="L632" s="6">
        <f>FLOOR(VLOOKUP($D632,Sheet1!$D$5:$F$192,3,TRUE),1)</f>
        <v>7</v>
      </c>
      <c r="M632" s="42" t="str">
        <f>VLOOKUP($D632,Sheet1!$D$5:$F$192,2,TRUE)</f>
        <v>|~</v>
      </c>
      <c r="N632" s="23">
        <f>FLOOR(VLOOKUP($D632,Sheet1!$G$5:$I$192,3,TRUE),1)</f>
        <v>8</v>
      </c>
      <c r="O632" s="42" t="str">
        <f>VLOOKUP($D632,Sheet1!$G$5:$I$192,2,TRUE)</f>
        <v>|~</v>
      </c>
      <c r="P632" s="23">
        <v>1</v>
      </c>
      <c r="Q632" s="43" t="str">
        <f>VLOOKUP($D632,Sheet1!$J$5:$L$192,2,TRUE)</f>
        <v>|~'</v>
      </c>
      <c r="R632" s="23">
        <f>FLOOR(VLOOKUP($D632,Sheet1!$M$5:$O$192,3,TRUE),1)</f>
        <v>35</v>
      </c>
      <c r="S632" s="42" t="str">
        <f>VLOOKUP($D632,Sheet1!$M$5:$O$192,2,TRUE)</f>
        <v>|~'</v>
      </c>
      <c r="T632" s="117">
        <f>IF(ABS(D632-VLOOKUP($D632,Sheet1!$M$5:$T$192,8,TRUE))&lt;10^-10,"SoCA",D632-VLOOKUP($D632,Sheet1!$M$5:$T$192,8,TRUE))</f>
        <v>-0.10283235125615775</v>
      </c>
      <c r="U632" s="109">
        <f>IF(VLOOKUP($D632,Sheet1!$M$5:$U$192,9,TRUE)=0,"",IF(ABS(D632-VLOOKUP($D632,Sheet1!$M$5:$U$192,9,TRUE))&lt;10^-10,"Alt.",D632-VLOOKUP($D632,Sheet1!$M$5:$U$192,9,TRUE)))</f>
        <v>-7.5872056053722048E-2</v>
      </c>
      <c r="V632" s="132">
        <f>$D632-Sheet1!$M$3*$R632</f>
        <v>-0.21292094191403876</v>
      </c>
      <c r="Z632" s="6"/>
      <c r="AA632" s="61"/>
    </row>
    <row r="633" spans="1:27" ht="13.5">
      <c r="A633" t="s">
        <v>938</v>
      </c>
      <c r="B633">
        <v>102</v>
      </c>
      <c r="C633">
        <v>103</v>
      </c>
      <c r="D633" s="13">
        <f t="shared" si="13"/>
        <v>16.890222254067293</v>
      </c>
      <c r="E633" s="61" t="s">
        <v>1931</v>
      </c>
      <c r="F633" s="65">
        <v>120.0811080797482</v>
      </c>
      <c r="G633" s="6">
        <v>847</v>
      </c>
      <c r="H633" s="6">
        <v>786</v>
      </c>
      <c r="I633" s="65">
        <v>-2.0399925186127978</v>
      </c>
      <c r="J633" s="6">
        <f>VLOOKUP($D633,Sheet1!$A$5:$C$192,3,TRUE)</f>
        <v>3</v>
      </c>
      <c r="K633" s="42" t="str">
        <f>VLOOKUP($D633,Sheet1!$A$5:$C$192,2,TRUE)</f>
        <v>~|(</v>
      </c>
      <c r="L633" s="6">
        <f>FLOOR(VLOOKUP($D633,Sheet1!$D$5:$F$192,3,TRUE),1)</f>
        <v>7</v>
      </c>
      <c r="M633" s="42" t="str">
        <f>VLOOKUP($D633,Sheet1!$D$5:$F$192,2,TRUE)</f>
        <v>|~</v>
      </c>
      <c r="N633" s="23">
        <f>FLOOR(VLOOKUP($D633,Sheet1!$G$5:$I$192,3,TRUE),1)</f>
        <v>8</v>
      </c>
      <c r="O633" s="42" t="str">
        <f>VLOOKUP($D633,Sheet1!$G$5:$I$192,2,TRUE)</f>
        <v>|~</v>
      </c>
      <c r="P633" s="23">
        <v>1</v>
      </c>
      <c r="Q633" s="43" t="str">
        <f>VLOOKUP($D633,Sheet1!$J$5:$L$192,2,TRUE)</f>
        <v>|~'</v>
      </c>
      <c r="R633" s="23">
        <f>FLOOR(VLOOKUP($D633,Sheet1!$M$5:$O$192,3,TRUE),1)</f>
        <v>35</v>
      </c>
      <c r="S633" s="42" t="str">
        <f>VLOOKUP($D633,Sheet1!$M$5:$O$192,2,TRUE)</f>
        <v>|~'</v>
      </c>
      <c r="T633" s="117">
        <f>IF(ABS(D633-VLOOKUP($D633,Sheet1!$M$5:$T$192,8,TRUE))&lt;10^-10,"SoCA",D633-VLOOKUP($D633,Sheet1!$M$5:$T$192,8,TRUE))</f>
        <v>-7.6835987978334686E-2</v>
      </c>
      <c r="U633" s="109">
        <f>IF(VLOOKUP($D633,Sheet1!$M$5:$U$192,9,TRUE)=0,"",IF(ABS(D633-VLOOKUP($D633,Sheet1!$M$5:$U$192,9,TRUE))&lt;10^-10,"Alt.",D633-VLOOKUP($D633,Sheet1!$M$5:$U$192,9,TRUE)))</f>
        <v>-4.9875692775898983E-2</v>
      </c>
      <c r="V633" s="132">
        <f>$D633-Sheet1!$M$3*$R633</f>
        <v>-0.1869245786362157</v>
      </c>
      <c r="Z633" s="6"/>
      <c r="AA633" s="61"/>
    </row>
    <row r="634" spans="1:27" ht="13.5">
      <c r="A634" t="s">
        <v>1228</v>
      </c>
      <c r="B634">
        <v>7857</v>
      </c>
      <c r="C634">
        <v>7936</v>
      </c>
      <c r="D634" s="13">
        <f t="shared" si="13"/>
        <v>17.320158378147472</v>
      </c>
      <c r="E634" s="61" t="s">
        <v>1931</v>
      </c>
      <c r="F634" s="65">
        <v>128.66563459744623</v>
      </c>
      <c r="G634" s="6">
        <v>1138</v>
      </c>
      <c r="H634" s="6">
        <v>1077</v>
      </c>
      <c r="I634" s="65">
        <v>-5.0664652521149929</v>
      </c>
      <c r="J634" s="6">
        <f>VLOOKUP($D634,Sheet1!$A$5:$C$192,3,TRUE)</f>
        <v>3</v>
      </c>
      <c r="K634" s="42" t="str">
        <f>VLOOKUP($D634,Sheet1!$A$5:$C$192,2,TRUE)</f>
        <v>~|(</v>
      </c>
      <c r="L634" s="6">
        <f>FLOOR(VLOOKUP($D634,Sheet1!$D$5:$F$192,3,TRUE),1)</f>
        <v>7</v>
      </c>
      <c r="M634" s="42" t="str">
        <f>VLOOKUP($D634,Sheet1!$D$5:$F$192,2,TRUE)</f>
        <v>|~</v>
      </c>
      <c r="N634" s="23">
        <f>FLOOR(VLOOKUP($D634,Sheet1!$G$5:$I$192,3,TRUE),1)</f>
        <v>8</v>
      </c>
      <c r="O634" s="42" t="str">
        <f>VLOOKUP($D634,Sheet1!$G$5:$I$192,2,TRUE)</f>
        <v>|~</v>
      </c>
      <c r="P634" s="23">
        <v>1</v>
      </c>
      <c r="Q634" s="43" t="str">
        <f>VLOOKUP($D634,Sheet1!$J$5:$L$192,2,TRUE)</f>
        <v>|~'</v>
      </c>
      <c r="R634" s="23">
        <f>FLOOR(VLOOKUP($D634,Sheet1!$M$5:$O$192,3,TRUE),1)</f>
        <v>35</v>
      </c>
      <c r="S634" s="42" t="str">
        <f>VLOOKUP($D634,Sheet1!$M$5:$O$192,2,TRUE)</f>
        <v>|~'</v>
      </c>
      <c r="T634" s="117">
        <f>IF(ABS(D634-VLOOKUP($D634,Sheet1!$M$5:$T$192,8,TRUE))&lt;10^-10,"SoCA",D634-VLOOKUP($D634,Sheet1!$M$5:$T$192,8,TRUE))</f>
        <v>0.35310013610184399</v>
      </c>
      <c r="U634" s="109">
        <f>IF(VLOOKUP($D634,Sheet1!$M$5:$U$192,9,TRUE)=0,"",IF(ABS(D634-VLOOKUP($D634,Sheet1!$M$5:$U$192,9,TRUE))&lt;10^-10,"Alt.",D634-VLOOKUP($D634,Sheet1!$M$5:$U$192,9,TRUE)))</f>
        <v>0.38006043130427969</v>
      </c>
      <c r="V634" s="132">
        <f>$D634-Sheet1!$M$3*$R634</f>
        <v>0.24301154544396297</v>
      </c>
      <c r="Z634" s="6"/>
      <c r="AA634" s="61"/>
    </row>
    <row r="635" spans="1:27" ht="13.5">
      <c r="A635" t="s">
        <v>827</v>
      </c>
      <c r="B635">
        <v>100</v>
      </c>
      <c r="C635">
        <v>101</v>
      </c>
      <c r="D635" s="13">
        <f t="shared" si="13"/>
        <v>17.226351572484067</v>
      </c>
      <c r="E635" s="61" t="s">
        <v>1931</v>
      </c>
      <c r="F635" s="65">
        <v>133.24029508071251</v>
      </c>
      <c r="G635" s="6">
        <v>753</v>
      </c>
      <c r="H635" s="6">
        <v>674</v>
      </c>
      <c r="I635" s="65">
        <v>-1.0606892253334979</v>
      </c>
      <c r="J635" s="6">
        <f>VLOOKUP($D635,Sheet1!$A$5:$C$192,3,TRUE)</f>
        <v>3</v>
      </c>
      <c r="K635" s="42" t="str">
        <f>VLOOKUP($D635,Sheet1!$A$5:$C$192,2,TRUE)</f>
        <v>~|(</v>
      </c>
      <c r="L635" s="6">
        <f>FLOOR(VLOOKUP($D635,Sheet1!$D$5:$F$192,3,TRUE),1)</f>
        <v>7</v>
      </c>
      <c r="M635" s="42" t="str">
        <f>VLOOKUP($D635,Sheet1!$D$5:$F$192,2,TRUE)</f>
        <v>|~</v>
      </c>
      <c r="N635" s="23">
        <f>FLOOR(VLOOKUP($D635,Sheet1!$G$5:$I$192,3,TRUE),1)</f>
        <v>8</v>
      </c>
      <c r="O635" s="42" t="str">
        <f>VLOOKUP($D635,Sheet1!$G$5:$I$192,2,TRUE)</f>
        <v>|~</v>
      </c>
      <c r="P635" s="23">
        <v>1</v>
      </c>
      <c r="Q635" s="43" t="str">
        <f>VLOOKUP($D635,Sheet1!$J$5:$L$192,2,TRUE)</f>
        <v>|~'</v>
      </c>
      <c r="R635" s="23">
        <f>FLOOR(VLOOKUP($D635,Sheet1!$M$5:$O$192,3,TRUE),1)</f>
        <v>35</v>
      </c>
      <c r="S635" s="42" t="str">
        <f>VLOOKUP($D635,Sheet1!$M$5:$O$192,2,TRUE)</f>
        <v>|~'</v>
      </c>
      <c r="T635" s="117">
        <f>IF(ABS(D635-VLOOKUP($D635,Sheet1!$M$5:$T$192,8,TRUE))&lt;10^-10,"SoCA",D635-VLOOKUP($D635,Sheet1!$M$5:$T$192,8,TRUE))</f>
        <v>0.25929333043843883</v>
      </c>
      <c r="U635" s="109">
        <f>IF(VLOOKUP($D635,Sheet1!$M$5:$U$192,9,TRUE)=0,"",IF(ABS(D635-VLOOKUP($D635,Sheet1!$M$5:$U$192,9,TRUE))&lt;10^-10,"Alt.",D635-VLOOKUP($D635,Sheet1!$M$5:$U$192,9,TRUE)))</f>
        <v>0.28625362564087453</v>
      </c>
      <c r="V635" s="132">
        <f>$D635-Sheet1!$M$3*$R635</f>
        <v>0.14920473978055782</v>
      </c>
      <c r="Z635" s="6"/>
      <c r="AA635" s="61"/>
    </row>
    <row r="636" spans="1:27" ht="13.5">
      <c r="A636" t="s">
        <v>1725</v>
      </c>
      <c r="B636">
        <v>23330816</v>
      </c>
      <c r="C636">
        <v>23560551</v>
      </c>
      <c r="D636" s="13">
        <f t="shared" si="13"/>
        <v>16.96381496101197</v>
      </c>
      <c r="E636" s="61" t="s">
        <v>1931</v>
      </c>
      <c r="F636" s="65">
        <v>177.9990454667915</v>
      </c>
      <c r="G636" s="6">
        <v>1627</v>
      </c>
      <c r="H636" s="6">
        <v>1574</v>
      </c>
      <c r="I636" s="65">
        <v>9.9554761103077887</v>
      </c>
      <c r="J636" s="6">
        <f>VLOOKUP($D636,Sheet1!$A$5:$C$192,3,TRUE)</f>
        <v>3</v>
      </c>
      <c r="K636" s="42" t="str">
        <f>VLOOKUP($D636,Sheet1!$A$5:$C$192,2,TRUE)</f>
        <v>~|(</v>
      </c>
      <c r="L636" s="6">
        <f>FLOOR(VLOOKUP($D636,Sheet1!$D$5:$F$192,3,TRUE),1)</f>
        <v>7</v>
      </c>
      <c r="M636" s="42" t="str">
        <f>VLOOKUP($D636,Sheet1!$D$5:$F$192,2,TRUE)</f>
        <v>|~</v>
      </c>
      <c r="N636" s="23">
        <f>FLOOR(VLOOKUP($D636,Sheet1!$G$5:$I$192,3,TRUE),1)</f>
        <v>8</v>
      </c>
      <c r="O636" s="42" t="str">
        <f>VLOOKUP($D636,Sheet1!$G$5:$I$192,2,TRUE)</f>
        <v>|~</v>
      </c>
      <c r="P636" s="23">
        <v>1</v>
      </c>
      <c r="Q636" s="43" t="str">
        <f>VLOOKUP($D636,Sheet1!$J$5:$L$192,2,TRUE)</f>
        <v>|~'</v>
      </c>
      <c r="R636" s="23">
        <f>FLOOR(VLOOKUP($D636,Sheet1!$M$5:$O$192,3,TRUE),1)</f>
        <v>35</v>
      </c>
      <c r="S636" s="42" t="str">
        <f>VLOOKUP($D636,Sheet1!$M$5:$O$192,2,TRUE)</f>
        <v>|~'</v>
      </c>
      <c r="T636" s="117">
        <f>IF(ABS(D636-VLOOKUP($D636,Sheet1!$M$5:$T$192,8,TRUE))&lt;10^-10,"SoCA",D636-VLOOKUP($D636,Sheet1!$M$5:$T$192,8,TRUE))</f>
        <v>-3.2432810336580076E-3</v>
      </c>
      <c r="U636" s="109">
        <f>IF(VLOOKUP($D636,Sheet1!$M$5:$U$192,9,TRUE)=0,"",IF(ABS(D636-VLOOKUP($D636,Sheet1!$M$5:$U$192,9,TRUE))&lt;10^-10,"Alt.",D636-VLOOKUP($D636,Sheet1!$M$5:$U$192,9,TRUE)))</f>
        <v>2.3717014168777695E-2</v>
      </c>
      <c r="V636" s="132">
        <f>$D636-Sheet1!$M$3*$R636</f>
        <v>-0.11333187169153902</v>
      </c>
      <c r="Z636" s="6"/>
      <c r="AA636" s="61"/>
    </row>
    <row r="637" spans="1:27" ht="13.5">
      <c r="A637" t="s">
        <v>1735</v>
      </c>
      <c r="B637">
        <v>4153113</v>
      </c>
      <c r="C637">
        <v>4194304</v>
      </c>
      <c r="D637" s="13">
        <f t="shared" si="13"/>
        <v>17.085965762890911</v>
      </c>
      <c r="E637" s="61" t="s">
        <v>1931</v>
      </c>
      <c r="F637" s="65">
        <v>276.50306475768838</v>
      </c>
      <c r="G637" s="6">
        <v>1644</v>
      </c>
      <c r="H637" s="6">
        <v>1584</v>
      </c>
      <c r="I637" s="65">
        <v>-10.052045159583496</v>
      </c>
      <c r="J637" s="6">
        <f>VLOOKUP($D637,Sheet1!$A$5:$C$192,3,TRUE)</f>
        <v>3</v>
      </c>
      <c r="K637" s="42" t="str">
        <f>VLOOKUP($D637,Sheet1!$A$5:$C$192,2,TRUE)</f>
        <v>~|(</v>
      </c>
      <c r="L637" s="6">
        <f>FLOOR(VLOOKUP($D637,Sheet1!$D$5:$F$192,3,TRUE),1)</f>
        <v>7</v>
      </c>
      <c r="M637" s="42" t="str">
        <f>VLOOKUP($D637,Sheet1!$D$5:$F$192,2,TRUE)</f>
        <v>|~</v>
      </c>
      <c r="N637" s="23">
        <f>FLOOR(VLOOKUP($D637,Sheet1!$G$5:$I$192,3,TRUE),1)</f>
        <v>8</v>
      </c>
      <c r="O637" s="42" t="str">
        <f>VLOOKUP($D637,Sheet1!$G$5:$I$192,2,TRUE)</f>
        <v>|~</v>
      </c>
      <c r="P637" s="23">
        <v>1</v>
      </c>
      <c r="Q637" s="43" t="str">
        <f>VLOOKUP($D637,Sheet1!$J$5:$L$192,2,TRUE)</f>
        <v>|~'</v>
      </c>
      <c r="R637" s="23">
        <f>FLOOR(VLOOKUP($D637,Sheet1!$M$5:$O$192,3,TRUE),1)</f>
        <v>35</v>
      </c>
      <c r="S637" s="42" t="str">
        <f>VLOOKUP($D637,Sheet1!$M$5:$O$192,2,TRUE)</f>
        <v>|~'</v>
      </c>
      <c r="T637" s="117">
        <f>IF(ABS(D637-VLOOKUP($D637,Sheet1!$M$5:$T$192,8,TRUE))&lt;10^-10,"SoCA",D637-VLOOKUP($D637,Sheet1!$M$5:$T$192,8,TRUE))</f>
        <v>0.11890752084528344</v>
      </c>
      <c r="U637" s="109">
        <f>IF(VLOOKUP($D637,Sheet1!$M$5:$U$192,9,TRUE)=0,"",IF(ABS(D637-VLOOKUP($D637,Sheet1!$M$5:$U$192,9,TRUE))&lt;10^-10,"Alt.",D637-VLOOKUP($D637,Sheet1!$M$5:$U$192,9,TRUE)))</f>
        <v>0.14586781604771915</v>
      </c>
      <c r="V637" s="132">
        <f>$D637-Sheet1!$M$3*$R637</f>
        <v>8.8189301874024295E-3</v>
      </c>
      <c r="Z637" s="6"/>
      <c r="AA637" s="61"/>
    </row>
    <row r="638" spans="1:27" ht="13.5">
      <c r="A638" t="s">
        <v>1405</v>
      </c>
      <c r="B638">
        <v>30900224</v>
      </c>
      <c r="C638">
        <v>31210677</v>
      </c>
      <c r="D638" s="13">
        <f t="shared" si="13"/>
        <v>17.306826067928974</v>
      </c>
      <c r="E638" s="61" t="s">
        <v>1931</v>
      </c>
      <c r="F638" s="65">
        <v>5794.062239884558</v>
      </c>
      <c r="G638" s="6">
        <v>1319</v>
      </c>
      <c r="H638" s="6">
        <v>1254</v>
      </c>
      <c r="I638" s="65">
        <v>6.9343556667974102</v>
      </c>
      <c r="J638" s="6">
        <f>VLOOKUP($D638,Sheet1!$A$5:$C$192,3,TRUE)</f>
        <v>3</v>
      </c>
      <c r="K638" s="42" t="str">
        <f>VLOOKUP($D638,Sheet1!$A$5:$C$192,2,TRUE)</f>
        <v>~|(</v>
      </c>
      <c r="L638" s="6">
        <f>FLOOR(VLOOKUP($D638,Sheet1!$D$5:$F$192,3,TRUE),1)</f>
        <v>7</v>
      </c>
      <c r="M638" s="42" t="str">
        <f>VLOOKUP($D638,Sheet1!$D$5:$F$192,2,TRUE)</f>
        <v>|~</v>
      </c>
      <c r="N638" s="23">
        <f>FLOOR(VLOOKUP($D638,Sheet1!$G$5:$I$192,3,TRUE),1)</f>
        <v>8</v>
      </c>
      <c r="O638" s="42" t="str">
        <f>VLOOKUP($D638,Sheet1!$G$5:$I$192,2,TRUE)</f>
        <v>|~</v>
      </c>
      <c r="P638" s="23">
        <v>1</v>
      </c>
      <c r="Q638" s="43" t="str">
        <f>VLOOKUP($D638,Sheet1!$J$5:$L$192,2,TRUE)</f>
        <v>|~'</v>
      </c>
      <c r="R638" s="23">
        <f>FLOOR(VLOOKUP($D638,Sheet1!$M$5:$O$192,3,TRUE),1)</f>
        <v>35</v>
      </c>
      <c r="S638" s="42" t="str">
        <f>VLOOKUP($D638,Sheet1!$M$5:$O$192,2,TRUE)</f>
        <v>|~'</v>
      </c>
      <c r="T638" s="117">
        <f>IF(ABS(D638-VLOOKUP($D638,Sheet1!$M$5:$T$192,8,TRUE))&lt;10^-10,"SoCA",D638-VLOOKUP($D638,Sheet1!$M$5:$T$192,8,TRUE))</f>
        <v>0.33976782588334586</v>
      </c>
      <c r="U638" s="109">
        <f>IF(VLOOKUP($D638,Sheet1!$M$5:$U$192,9,TRUE)=0,"",IF(ABS(D638-VLOOKUP($D638,Sheet1!$M$5:$U$192,9,TRUE))&lt;10^-10,"Alt.",D638-VLOOKUP($D638,Sheet1!$M$5:$U$192,9,TRUE)))</f>
        <v>0.36672812108578157</v>
      </c>
      <c r="V638" s="132">
        <f>$D638-Sheet1!$M$3*$R638</f>
        <v>0.22967923522546485</v>
      </c>
      <c r="Z638" s="6"/>
      <c r="AA638" s="61"/>
    </row>
    <row r="639" spans="1:27" ht="13.5">
      <c r="A639" t="s">
        <v>940</v>
      </c>
      <c r="B639">
        <v>36363</v>
      </c>
      <c r="C639">
        <v>36724</v>
      </c>
      <c r="D639" s="13">
        <f t="shared" si="13"/>
        <v>17.102373179079127</v>
      </c>
      <c r="E639" s="61" t="s">
        <v>1931</v>
      </c>
      <c r="F639" s="65">
        <v>12952.95513624424</v>
      </c>
      <c r="G639" s="6">
        <v>849</v>
      </c>
      <c r="H639" s="6">
        <v>788</v>
      </c>
      <c r="I639" s="65">
        <v>-2.0530554239736771</v>
      </c>
      <c r="J639" s="6">
        <f>VLOOKUP($D639,Sheet1!$A$5:$C$192,3,TRUE)</f>
        <v>3</v>
      </c>
      <c r="K639" s="42" t="str">
        <f>VLOOKUP($D639,Sheet1!$A$5:$C$192,2,TRUE)</f>
        <v>~|(</v>
      </c>
      <c r="L639" s="6">
        <f>FLOOR(VLOOKUP($D639,Sheet1!$D$5:$F$192,3,TRUE),1)</f>
        <v>7</v>
      </c>
      <c r="M639" s="42" t="str">
        <f>VLOOKUP($D639,Sheet1!$D$5:$F$192,2,TRUE)</f>
        <v>|~</v>
      </c>
      <c r="N639" s="23">
        <f>FLOOR(VLOOKUP($D639,Sheet1!$G$5:$I$192,3,TRUE),1)</f>
        <v>8</v>
      </c>
      <c r="O639" s="42" t="str">
        <f>VLOOKUP($D639,Sheet1!$G$5:$I$192,2,TRUE)</f>
        <v>|~</v>
      </c>
      <c r="P639" s="23">
        <v>1</v>
      </c>
      <c r="Q639" s="43" t="str">
        <f>VLOOKUP($D639,Sheet1!$J$5:$L$192,2,TRUE)</f>
        <v>|~'</v>
      </c>
      <c r="R639" s="23">
        <f>FLOOR(VLOOKUP($D639,Sheet1!$M$5:$O$192,3,TRUE),1)</f>
        <v>35</v>
      </c>
      <c r="S639" s="42" t="str">
        <f>VLOOKUP($D639,Sheet1!$M$5:$O$192,2,TRUE)</f>
        <v>|~'</v>
      </c>
      <c r="T639" s="117">
        <f>IF(ABS(D639-VLOOKUP($D639,Sheet1!$M$5:$T$192,8,TRUE))&lt;10^-10,"SoCA",D639-VLOOKUP($D639,Sheet1!$M$5:$T$192,8,TRUE))</f>
        <v>0.13531493703349895</v>
      </c>
      <c r="U639" s="109">
        <f>IF(VLOOKUP($D639,Sheet1!$M$5:$U$192,9,TRUE)=0,"",IF(ABS(D639-VLOOKUP($D639,Sheet1!$M$5:$U$192,9,TRUE))&lt;10^-10,"Alt.",D639-VLOOKUP($D639,Sheet1!$M$5:$U$192,9,TRUE)))</f>
        <v>0.16227523223593465</v>
      </c>
      <c r="V639" s="132">
        <f>$D639-Sheet1!$M$3*$R639</f>
        <v>2.5226346375617936E-2</v>
      </c>
      <c r="Z639" s="6"/>
      <c r="AA639" s="61"/>
    </row>
    <row r="640" spans="1:27" ht="13.5">
      <c r="A640" t="s">
        <v>1407</v>
      </c>
      <c r="B640">
        <v>6778273792</v>
      </c>
      <c r="C640">
        <v>6845819571</v>
      </c>
      <c r="D640" s="13">
        <f t="shared" si="13"/>
        <v>17.166428250427771</v>
      </c>
      <c r="E640" s="61" t="s">
        <v>1931</v>
      </c>
      <c r="F640" s="65">
        <v>1457138.8584878782</v>
      </c>
      <c r="G640" s="6">
        <v>1322</v>
      </c>
      <c r="H640" s="6">
        <v>1256</v>
      </c>
      <c r="I640" s="65">
        <v>6.9430004719180562</v>
      </c>
      <c r="J640" s="6">
        <f>VLOOKUP($D640,Sheet1!$A$5:$C$192,3,TRUE)</f>
        <v>3</v>
      </c>
      <c r="K640" s="42" t="str">
        <f>VLOOKUP($D640,Sheet1!$A$5:$C$192,2,TRUE)</f>
        <v>~|(</v>
      </c>
      <c r="L640" s="6">
        <f>FLOOR(VLOOKUP($D640,Sheet1!$D$5:$F$192,3,TRUE),1)</f>
        <v>7</v>
      </c>
      <c r="M640" s="42" t="str">
        <f>VLOOKUP($D640,Sheet1!$D$5:$F$192,2,TRUE)</f>
        <v>|~</v>
      </c>
      <c r="N640" s="23">
        <f>FLOOR(VLOOKUP($D640,Sheet1!$G$5:$I$192,3,TRUE),1)</f>
        <v>8</v>
      </c>
      <c r="O640" s="42" t="str">
        <f>VLOOKUP($D640,Sheet1!$G$5:$I$192,2,TRUE)</f>
        <v>|~</v>
      </c>
      <c r="P640" s="23">
        <v>1</v>
      </c>
      <c r="Q640" s="43" t="str">
        <f>VLOOKUP($D640,Sheet1!$J$5:$L$192,2,TRUE)</f>
        <v>|~'</v>
      </c>
      <c r="R640" s="23">
        <f>FLOOR(VLOOKUP($D640,Sheet1!$M$5:$O$192,3,TRUE),1)</f>
        <v>35</v>
      </c>
      <c r="S640" s="42" t="str">
        <f>VLOOKUP($D640,Sheet1!$M$5:$O$192,2,TRUE)</f>
        <v>|~'</v>
      </c>
      <c r="T640" s="117">
        <f>IF(ABS(D640-VLOOKUP($D640,Sheet1!$M$5:$T$192,8,TRUE))&lt;10^-10,"SoCA",D640-VLOOKUP($D640,Sheet1!$M$5:$T$192,8,TRUE))</f>
        <v>0.19937000838214303</v>
      </c>
      <c r="U640" s="109">
        <f>IF(VLOOKUP($D640,Sheet1!$M$5:$U$192,9,TRUE)=0,"",IF(ABS(D640-VLOOKUP($D640,Sheet1!$M$5:$U$192,9,TRUE))&lt;10^-10,"Alt.",D640-VLOOKUP($D640,Sheet1!$M$5:$U$192,9,TRUE)))</f>
        <v>0.22633030358457873</v>
      </c>
      <c r="V640" s="132">
        <f>$D640-Sheet1!$M$3*$R640</f>
        <v>8.9281417724262013E-2</v>
      </c>
      <c r="Z640" s="6"/>
      <c r="AA640" s="61"/>
    </row>
    <row r="641" spans="1:27" ht="13.5">
      <c r="A641" s="47" t="s">
        <v>267</v>
      </c>
      <c r="B641" s="47">
        <f>3^2*11</f>
        <v>99</v>
      </c>
      <c r="C641" s="47">
        <f>2^2*5^2</f>
        <v>100</v>
      </c>
      <c r="D641" s="13">
        <f t="shared" si="13"/>
        <v>17.399483634138207</v>
      </c>
      <c r="E641" s="61">
        <v>11</v>
      </c>
      <c r="F641" s="65">
        <v>25.307440635509234</v>
      </c>
      <c r="G641" s="60">
        <v>75</v>
      </c>
      <c r="H641" s="60">
        <v>69</v>
      </c>
      <c r="I641" s="65">
        <v>-3.0713495971239846</v>
      </c>
      <c r="J641" s="23">
        <f>VLOOKUP($D641,Sheet1!$A$5:$C$192,3,TRUE)</f>
        <v>3</v>
      </c>
      <c r="K641" s="43" t="str">
        <f>VLOOKUP($D641,Sheet1!$A$5:$C$192,2,TRUE)</f>
        <v>~|(</v>
      </c>
      <c r="L641" s="6">
        <f>FLOOR(VLOOKUP($D641,Sheet1!$D$5:$F$192,3,TRUE),1)</f>
        <v>7</v>
      </c>
      <c r="M641" s="43" t="str">
        <f>VLOOKUP($D641,Sheet1!$D$5:$F$192,2,TRUE)</f>
        <v>~~|</v>
      </c>
      <c r="N641" s="23">
        <f>FLOOR(VLOOKUP($D641,Sheet1!$G$5:$I$192,3,TRUE),1)</f>
        <v>9</v>
      </c>
      <c r="O641" s="43" t="str">
        <f>VLOOKUP($D641,Sheet1!$G$5:$I$192,2,TRUE)</f>
        <v>~~|</v>
      </c>
      <c r="P641" s="23">
        <v>1</v>
      </c>
      <c r="Q641" s="43" t="str">
        <f>VLOOKUP($D641,Sheet1!$J$5:$L$192,2,TRUE)</f>
        <v>~~|</v>
      </c>
      <c r="R641" s="40">
        <f>FLOOR(VLOOKUP($D641,Sheet1!$M$5:$O$192,3,TRUE),1)</f>
        <v>36</v>
      </c>
      <c r="S641" s="46" t="str">
        <f>VLOOKUP($D641,Sheet1!$M$5:$O$192,2,TRUE)</f>
        <v>|~''</v>
      </c>
      <c r="T641" s="115">
        <f>IF(ABS(D641-VLOOKUP($D641,Sheet1!$M$5:$T$192,8,TRUE))&lt;10^-10,"SoCA",D641-VLOOKUP($D641,Sheet1!$M$5:$T$192,8,TRUE))</f>
        <v>2.2617353945804552E-2</v>
      </c>
      <c r="U641" s="115">
        <f>IF(VLOOKUP($D641,Sheet1!$M$5:$U$192,9,TRUE)=0,"",IF(ABS(D641-VLOOKUP($D641,Sheet1!$M$5:$U$192,9,TRUE))&lt;10^-10,"Alt.",D641-VLOOKUP($D641,Sheet1!$M$5:$U$192,9,TRUE)))</f>
        <v>3.6669521340261468E-2</v>
      </c>
      <c r="V641" s="132">
        <f>$D641-Sheet1!$M$3*$R641</f>
        <v>-0.16558167949968805</v>
      </c>
      <c r="Z641" s="6"/>
      <c r="AA641" s="61"/>
    </row>
    <row r="642" spans="1:27" ht="13.5">
      <c r="A642" s="33" t="s">
        <v>75</v>
      </c>
      <c r="B642" s="33">
        <f>2*7^2</f>
        <v>98</v>
      </c>
      <c r="C642" s="33">
        <f>3^2*11</f>
        <v>99</v>
      </c>
      <c r="D642" s="13">
        <f t="shared" si="13"/>
        <v>17.576131157281512</v>
      </c>
      <c r="E642" s="61">
        <v>11</v>
      </c>
      <c r="F642" s="65">
        <v>30.053612599720854</v>
      </c>
      <c r="G642" s="60">
        <v>77</v>
      </c>
      <c r="H642" s="60">
        <v>67</v>
      </c>
      <c r="I642" s="65">
        <v>0.91777357131411663</v>
      </c>
      <c r="J642" s="6">
        <f>VLOOKUP($D642,Sheet1!$A$5:$C$192,3,TRUE)</f>
        <v>3</v>
      </c>
      <c r="K642" s="42" t="str">
        <f>VLOOKUP($D642,Sheet1!$A$5:$C$192,2,TRUE)</f>
        <v>~|(</v>
      </c>
      <c r="L642" s="34">
        <f>FLOOR(VLOOKUP($D642,Sheet1!$D$5:$F$192,3,TRUE),1)</f>
        <v>7</v>
      </c>
      <c r="M642" s="41" t="str">
        <f>VLOOKUP($D642,Sheet1!$D$5:$F$192,2,TRUE)</f>
        <v>~~|</v>
      </c>
      <c r="N642" s="34">
        <f>FLOOR(VLOOKUP($D642,Sheet1!$G$5:$I$192,3,TRUE),1)</f>
        <v>9</v>
      </c>
      <c r="O642" s="41" t="str">
        <f>VLOOKUP($D642,Sheet1!$G$5:$I$192,2,TRUE)</f>
        <v>~~|</v>
      </c>
      <c r="P642" s="34">
        <v>1</v>
      </c>
      <c r="Q642" s="41" t="str">
        <f>VLOOKUP($D642,Sheet1!$J$5:$L$192,2,TRUE)</f>
        <v>~~|</v>
      </c>
      <c r="R642" s="34">
        <f>FLOOR(VLOOKUP($D642,Sheet1!$M$5:$O$192,3,TRUE),1)</f>
        <v>36</v>
      </c>
      <c r="S642" s="41" t="str">
        <f>VLOOKUP($D642,Sheet1!$M$5:$O$192,2,TRUE)</f>
        <v>~~|</v>
      </c>
      <c r="T642" s="114" t="str">
        <f>IF(ABS(D642-VLOOKUP($D642,Sheet1!$M$5:$T$192,8,TRUE))&lt;10^-10,"SoCA",D642-VLOOKUP($D642,Sheet1!$M$5:$T$192,8,TRUE))</f>
        <v>SoCA</v>
      </c>
      <c r="U642" s="126" t="str">
        <f>IF(VLOOKUP($D642,Sheet1!$M$5:$U$192,9,TRUE)=0,"",IF(ABS(D642-VLOOKUP($D642,Sheet1!$M$5:$U$192,9,TRUE))&lt;10^-10,"Alt.",D642-VLOOKUP($D642,Sheet1!$M$5:$U$192,9,TRUE)))</f>
        <v/>
      </c>
      <c r="V642" s="137">
        <f>$D642-Sheet1!$M$3*$R642</f>
        <v>1.1065843643617512E-2</v>
      </c>
      <c r="Z642" s="6"/>
      <c r="AA642" s="61"/>
    </row>
    <row r="643" spans="1:27" ht="13.5">
      <c r="A643" s="6" t="s">
        <v>338</v>
      </c>
      <c r="B643" s="6">
        <f>2^16*11</f>
        <v>720896</v>
      </c>
      <c r="C643" s="6">
        <f>3^9*37</f>
        <v>728271</v>
      </c>
      <c r="D643" s="13">
        <f t="shared" si="13"/>
        <v>17.621104178469757</v>
      </c>
      <c r="E643" s="61">
        <v>37</v>
      </c>
      <c r="F643" s="65">
        <v>56.140391526930436</v>
      </c>
      <c r="G643" s="6">
        <v>160</v>
      </c>
      <c r="H643" s="6">
        <v>172</v>
      </c>
      <c r="I643" s="65">
        <v>7.9150044185539201</v>
      </c>
      <c r="J643" s="6">
        <f>VLOOKUP($D643,Sheet1!$A$5:$C$192,3,TRUE)</f>
        <v>3</v>
      </c>
      <c r="K643" s="42" t="str">
        <f>VLOOKUP($D643,Sheet1!$A$5:$C$192,2,TRUE)</f>
        <v>~|(</v>
      </c>
      <c r="L643" s="6">
        <f>FLOOR(VLOOKUP($D643,Sheet1!$D$5:$F$192,3,TRUE),1)</f>
        <v>7</v>
      </c>
      <c r="M643" s="42" t="str">
        <f>VLOOKUP($D643,Sheet1!$D$5:$F$192,2,TRUE)</f>
        <v>~~|</v>
      </c>
      <c r="N643" s="23">
        <f>FLOOR(VLOOKUP($D643,Sheet1!$G$5:$I$192,3,TRUE),1)</f>
        <v>9</v>
      </c>
      <c r="O643" s="42" t="str">
        <f>VLOOKUP($D643,Sheet1!$G$5:$I$192,2,TRUE)</f>
        <v>~~|</v>
      </c>
      <c r="P643" s="23">
        <v>1</v>
      </c>
      <c r="Q643" s="43" t="str">
        <f>VLOOKUP($D643,Sheet1!$J$5:$L$192,2,TRUE)</f>
        <v>~~|</v>
      </c>
      <c r="R643" s="23">
        <f>FLOOR(VLOOKUP($D643,Sheet1!$M$5:$O$192,3,TRUE),1)</f>
        <v>36</v>
      </c>
      <c r="S643" s="42" t="str">
        <f>VLOOKUP($D643,Sheet1!$M$5:$O$192,2,TRUE)</f>
        <v>~~|</v>
      </c>
      <c r="T643" s="117">
        <f>IF(ABS(D643-VLOOKUP($D643,Sheet1!$M$5:$T$192,8,TRUE))&lt;10^-10,"SoCA",D643-VLOOKUP($D643,Sheet1!$M$5:$T$192,8,TRUE))</f>
        <v>4.4973021188244644E-2</v>
      </c>
      <c r="U643" s="109" t="str">
        <f>IF(VLOOKUP($D643,Sheet1!$M$5:$U$192,9,TRUE)=0,"",IF(ABS(D643-VLOOKUP($D643,Sheet1!$M$5:$U$192,9,TRUE))&lt;10^-10,"Alt.",D643-VLOOKUP($D643,Sheet1!$M$5:$U$192,9,TRUE)))</f>
        <v/>
      </c>
      <c r="V643" s="132">
        <f>$D643-Sheet1!$M$3*$R643</f>
        <v>5.6038864831862156E-2</v>
      </c>
      <c r="Z643" s="6"/>
      <c r="AA643" s="61"/>
    </row>
    <row r="644" spans="1:27" ht="13.5">
      <c r="A644" t="s">
        <v>850</v>
      </c>
      <c r="B644">
        <v>75776</v>
      </c>
      <c r="C644">
        <v>76545</v>
      </c>
      <c r="D644" s="13">
        <f t="shared" ref="D644:D707" si="14">1200*LN($C644/$B644)/LN(2)</f>
        <v>17.480587636931904</v>
      </c>
      <c r="E644" s="61">
        <v>37</v>
      </c>
      <c r="F644" s="65">
        <v>60.849341231427232</v>
      </c>
      <c r="G644" s="6">
        <v>648</v>
      </c>
      <c r="H644" s="6">
        <v>697</v>
      </c>
      <c r="I644" s="65">
        <v>5.9236565339460379</v>
      </c>
      <c r="J644" s="6">
        <f>VLOOKUP($D644,Sheet1!$A$5:$C$192,3,TRUE)</f>
        <v>3</v>
      </c>
      <c r="K644" s="42" t="str">
        <f>VLOOKUP($D644,Sheet1!$A$5:$C$192,2,TRUE)</f>
        <v>~|(</v>
      </c>
      <c r="L644" s="6">
        <f>FLOOR(VLOOKUP($D644,Sheet1!$D$5:$F$192,3,TRUE),1)</f>
        <v>7</v>
      </c>
      <c r="M644" s="42" t="str">
        <f>VLOOKUP($D644,Sheet1!$D$5:$F$192,2,TRUE)</f>
        <v>~~|</v>
      </c>
      <c r="N644" s="23">
        <f>FLOOR(VLOOKUP($D644,Sheet1!$G$5:$I$192,3,TRUE),1)</f>
        <v>9</v>
      </c>
      <c r="O644" s="42" t="str">
        <f>VLOOKUP($D644,Sheet1!$G$5:$I$192,2,TRUE)</f>
        <v>~~|</v>
      </c>
      <c r="P644" s="23">
        <v>1</v>
      </c>
      <c r="Q644" s="43" t="str">
        <f>VLOOKUP($D644,Sheet1!$J$5:$L$192,2,TRUE)</f>
        <v>~~|</v>
      </c>
      <c r="R644" s="23">
        <f>FLOOR(VLOOKUP($D644,Sheet1!$M$5:$O$192,3,TRUE),1)</f>
        <v>36</v>
      </c>
      <c r="S644" s="42" t="str">
        <f>VLOOKUP($D644,Sheet1!$M$5:$O$192,2,TRUE)</f>
        <v>|~''</v>
      </c>
      <c r="T644" s="117">
        <f>IF(ABS(D644-VLOOKUP($D644,Sheet1!$M$5:$T$192,8,TRUE))&lt;10^-10,"SoCA",D644-VLOOKUP($D644,Sheet1!$M$5:$T$192,8,TRUE))</f>
        <v>0.10372135673950211</v>
      </c>
      <c r="U644" s="109">
        <f>IF(VLOOKUP($D644,Sheet1!$M$5:$U$192,9,TRUE)=0,"",IF(ABS(D644-VLOOKUP($D644,Sheet1!$M$5:$U$192,9,TRUE))&lt;10^-10,"Alt.",D644-VLOOKUP($D644,Sheet1!$M$5:$U$192,9,TRUE)))</f>
        <v>0.11777352413395903</v>
      </c>
      <c r="V644" s="132">
        <f>$D644-Sheet1!$M$3*$R644</f>
        <v>-8.447767670599049E-2</v>
      </c>
      <c r="Z644" s="6"/>
      <c r="AA644" s="61"/>
    </row>
    <row r="645" spans="1:27" ht="13.5">
      <c r="A645" t="s">
        <v>704</v>
      </c>
      <c r="B645">
        <v>1647</v>
      </c>
      <c r="C645">
        <v>1664</v>
      </c>
      <c r="D645" s="13">
        <f t="shared" si="14"/>
        <v>17.777854097684742</v>
      </c>
      <c r="E645" s="61" t="s">
        <v>1931</v>
      </c>
      <c r="F645" s="65">
        <v>74.300067051115789</v>
      </c>
      <c r="G645" s="6">
        <v>590</v>
      </c>
      <c r="H645" s="6">
        <v>549</v>
      </c>
      <c r="I645" s="65">
        <v>-4.0946472450431939</v>
      </c>
      <c r="J645" s="6">
        <f>VLOOKUP($D645,Sheet1!$A$5:$C$192,3,TRUE)</f>
        <v>3</v>
      </c>
      <c r="K645" s="42" t="str">
        <f>VLOOKUP($D645,Sheet1!$A$5:$C$192,2,TRUE)</f>
        <v>~|(</v>
      </c>
      <c r="L645" s="6">
        <f>FLOOR(VLOOKUP($D645,Sheet1!$D$5:$F$192,3,TRUE),1)</f>
        <v>7</v>
      </c>
      <c r="M645" s="42" t="str">
        <f>VLOOKUP($D645,Sheet1!$D$5:$F$192,2,TRUE)</f>
        <v>~~|</v>
      </c>
      <c r="N645" s="23">
        <f>FLOOR(VLOOKUP($D645,Sheet1!$G$5:$I$192,3,TRUE),1)</f>
        <v>9</v>
      </c>
      <c r="O645" s="42" t="str">
        <f>VLOOKUP($D645,Sheet1!$G$5:$I$192,2,TRUE)</f>
        <v>~~|</v>
      </c>
      <c r="P645" s="23">
        <v>1</v>
      </c>
      <c r="Q645" s="43" t="str">
        <f>VLOOKUP($D645,Sheet1!$J$5:$L$192,2,TRUE)</f>
        <v>~~|</v>
      </c>
      <c r="R645" s="23">
        <f>FLOOR(VLOOKUP($D645,Sheet1!$M$5:$O$192,3,TRUE),1)</f>
        <v>36</v>
      </c>
      <c r="S645" s="42" t="str">
        <f>VLOOKUP($D645,Sheet1!$M$5:$O$192,2,TRUE)</f>
        <v>~~|</v>
      </c>
      <c r="T645" s="117">
        <f>IF(ABS(D645-VLOOKUP($D645,Sheet1!$M$5:$T$192,8,TRUE))&lt;10^-10,"SoCA",D645-VLOOKUP($D645,Sheet1!$M$5:$T$192,8,TRUE))</f>
        <v>0.20172294040322925</v>
      </c>
      <c r="U645" s="109" t="str">
        <f>IF(VLOOKUP($D645,Sheet1!$M$5:$U$192,9,TRUE)=0,"",IF(ABS(D645-VLOOKUP($D645,Sheet1!$M$5:$U$192,9,TRUE))&lt;10^-10,"Alt.",D645-VLOOKUP($D645,Sheet1!$M$5:$U$192,9,TRUE)))</f>
        <v/>
      </c>
      <c r="V645" s="132">
        <f>$D645-Sheet1!$M$3*$R645</f>
        <v>0.21278878404684676</v>
      </c>
      <c r="Z645" s="6"/>
      <c r="AA645" s="61"/>
    </row>
    <row r="646" spans="1:27" ht="13.5">
      <c r="A646" t="s">
        <v>1017</v>
      </c>
      <c r="B646">
        <v>6656</v>
      </c>
      <c r="C646">
        <v>6723</v>
      </c>
      <c r="D646" s="13">
        <f t="shared" si="14"/>
        <v>17.339659308548903</v>
      </c>
      <c r="E646" s="61" t="s">
        <v>1931</v>
      </c>
      <c r="F646" s="65">
        <v>96.29930109135617</v>
      </c>
      <c r="G646" s="6">
        <v>935</v>
      </c>
      <c r="H646" s="6">
        <v>865</v>
      </c>
      <c r="I646" s="65">
        <v>2.9323340045544333</v>
      </c>
      <c r="J646" s="6">
        <f>VLOOKUP($D646,Sheet1!$A$5:$C$192,3,TRUE)</f>
        <v>3</v>
      </c>
      <c r="K646" s="42" t="str">
        <f>VLOOKUP($D646,Sheet1!$A$5:$C$192,2,TRUE)</f>
        <v>~|(</v>
      </c>
      <c r="L646" s="6">
        <f>FLOOR(VLOOKUP($D646,Sheet1!$D$5:$F$192,3,TRUE),1)</f>
        <v>7</v>
      </c>
      <c r="M646" s="42" t="str">
        <f>VLOOKUP($D646,Sheet1!$D$5:$F$192,2,TRUE)</f>
        <v>~~|</v>
      </c>
      <c r="N646" s="23">
        <f>FLOOR(VLOOKUP($D646,Sheet1!$G$5:$I$192,3,TRUE),1)</f>
        <v>9</v>
      </c>
      <c r="O646" s="42" t="str">
        <f>VLOOKUP($D646,Sheet1!$G$5:$I$192,2,TRUE)</f>
        <v>~~|</v>
      </c>
      <c r="P646" s="23">
        <v>1</v>
      </c>
      <c r="Q646" s="43" t="str">
        <f>VLOOKUP($D646,Sheet1!$J$5:$L$192,2,TRUE)</f>
        <v>~~|</v>
      </c>
      <c r="R646" s="23">
        <f>FLOOR(VLOOKUP($D646,Sheet1!$M$5:$O$192,3,TRUE),1)</f>
        <v>36</v>
      </c>
      <c r="S646" s="42" t="str">
        <f>VLOOKUP($D646,Sheet1!$M$5:$O$192,2,TRUE)</f>
        <v>|~''</v>
      </c>
      <c r="T646" s="117">
        <f>IF(ABS(D646-VLOOKUP($D646,Sheet1!$M$5:$T$192,8,TRUE))&lt;10^-10,"SoCA",D646-VLOOKUP($D646,Sheet1!$M$5:$T$192,8,TRUE))</f>
        <v>-3.7206971643499287E-2</v>
      </c>
      <c r="U646" s="109">
        <f>IF(VLOOKUP($D646,Sheet1!$M$5:$U$192,9,TRUE)=0,"",IF(ABS(D646-VLOOKUP($D646,Sheet1!$M$5:$U$192,9,TRUE))&lt;10^-10,"Alt.",D646-VLOOKUP($D646,Sheet1!$M$5:$U$192,9,TRUE)))</f>
        <v>-2.3154804249042371E-2</v>
      </c>
      <c r="V646" s="132">
        <f>$D646-Sheet1!$M$3*$R646</f>
        <v>-0.22540600508899189</v>
      </c>
      <c r="Z646" s="6"/>
      <c r="AA646" s="61"/>
    </row>
    <row r="647" spans="1:27" ht="13.5">
      <c r="A647" t="s">
        <v>1325</v>
      </c>
      <c r="B647">
        <v>17739</v>
      </c>
      <c r="C647">
        <v>17920</v>
      </c>
      <c r="D647" s="13">
        <f t="shared" si="14"/>
        <v>17.575145351002138</v>
      </c>
      <c r="E647" s="61" t="s">
        <v>1931</v>
      </c>
      <c r="F647" s="65">
        <v>103.23047030364582</v>
      </c>
      <c r="G647" s="6">
        <v>1235</v>
      </c>
      <c r="H647" s="6">
        <v>1174</v>
      </c>
      <c r="I647" s="65">
        <v>-6.0821657290017743</v>
      </c>
      <c r="J647" s="6">
        <f>VLOOKUP($D647,Sheet1!$A$5:$C$192,3,TRUE)</f>
        <v>3</v>
      </c>
      <c r="K647" s="42" t="str">
        <f>VLOOKUP($D647,Sheet1!$A$5:$C$192,2,TRUE)</f>
        <v>~|(</v>
      </c>
      <c r="L647" s="6">
        <f>FLOOR(VLOOKUP($D647,Sheet1!$D$5:$F$192,3,TRUE),1)</f>
        <v>7</v>
      </c>
      <c r="M647" s="42" t="str">
        <f>VLOOKUP($D647,Sheet1!$D$5:$F$192,2,TRUE)</f>
        <v>~~|</v>
      </c>
      <c r="N647" s="23">
        <f>FLOOR(VLOOKUP($D647,Sheet1!$G$5:$I$192,3,TRUE),1)</f>
        <v>9</v>
      </c>
      <c r="O647" s="42" t="str">
        <f>VLOOKUP($D647,Sheet1!$G$5:$I$192,2,TRUE)</f>
        <v>~~|</v>
      </c>
      <c r="P647" s="23">
        <v>1</v>
      </c>
      <c r="Q647" s="43" t="str">
        <f>VLOOKUP($D647,Sheet1!$J$5:$L$192,2,TRUE)</f>
        <v>~~|</v>
      </c>
      <c r="R647" s="23">
        <f>FLOOR(VLOOKUP($D647,Sheet1!$M$5:$O$192,3,TRUE),1)</f>
        <v>36</v>
      </c>
      <c r="S647" s="42" t="str">
        <f>VLOOKUP($D647,Sheet1!$M$5:$O$192,2,TRUE)</f>
        <v>~~|</v>
      </c>
      <c r="T647" s="117">
        <f>IF(ABS(D647-VLOOKUP($D647,Sheet1!$M$5:$T$192,8,TRUE))&lt;10^-10,"SoCA",D647-VLOOKUP($D647,Sheet1!$M$5:$T$192,8,TRUE))</f>
        <v>-9.8580627937394638E-4</v>
      </c>
      <c r="U647" s="109" t="str">
        <f>IF(VLOOKUP($D647,Sheet1!$M$5:$U$192,9,TRUE)=0,"",IF(ABS(D647-VLOOKUP($D647,Sheet1!$M$5:$U$192,9,TRUE))&lt;10^-10,"Alt.",D647-VLOOKUP($D647,Sheet1!$M$5:$U$192,9,TRUE)))</f>
        <v/>
      </c>
      <c r="V647" s="132">
        <f>$D647-Sheet1!$M$3*$R647</f>
        <v>1.0080037364243566E-2</v>
      </c>
      <c r="Z647" s="6"/>
      <c r="AA647" s="61"/>
    </row>
    <row r="648" spans="1:27" ht="13.5">
      <c r="A648" t="s">
        <v>1136</v>
      </c>
      <c r="B648">
        <v>129735</v>
      </c>
      <c r="C648">
        <v>131072</v>
      </c>
      <c r="D648" s="13">
        <f t="shared" si="14"/>
        <v>17.750138610502571</v>
      </c>
      <c r="E648" s="61">
        <v>31</v>
      </c>
      <c r="F648" s="65">
        <v>107.49313577543006</v>
      </c>
      <c r="G648" s="6">
        <v>1043</v>
      </c>
      <c r="H648" s="6">
        <v>985</v>
      </c>
      <c r="I648" s="65">
        <v>-4.0929407015243706</v>
      </c>
      <c r="J648" s="6">
        <f>VLOOKUP($D648,Sheet1!$A$5:$C$192,3,TRUE)</f>
        <v>3</v>
      </c>
      <c r="K648" s="42" t="str">
        <f>VLOOKUP($D648,Sheet1!$A$5:$C$192,2,TRUE)</f>
        <v>~|(</v>
      </c>
      <c r="L648" s="6">
        <f>FLOOR(VLOOKUP($D648,Sheet1!$D$5:$F$192,3,TRUE),1)</f>
        <v>7</v>
      </c>
      <c r="M648" s="42" t="str">
        <f>VLOOKUP($D648,Sheet1!$D$5:$F$192,2,TRUE)</f>
        <v>~~|</v>
      </c>
      <c r="N648" s="23">
        <f>FLOOR(VLOOKUP($D648,Sheet1!$G$5:$I$192,3,TRUE),1)</f>
        <v>9</v>
      </c>
      <c r="O648" s="42" t="str">
        <f>VLOOKUP($D648,Sheet1!$G$5:$I$192,2,TRUE)</f>
        <v>~~|</v>
      </c>
      <c r="P648" s="23">
        <v>1</v>
      </c>
      <c r="Q648" s="43" t="str">
        <f>VLOOKUP($D648,Sheet1!$J$5:$L$192,2,TRUE)</f>
        <v>~~|</v>
      </c>
      <c r="R648" s="23">
        <f>FLOOR(VLOOKUP($D648,Sheet1!$M$5:$O$192,3,TRUE),1)</f>
        <v>36</v>
      </c>
      <c r="S648" s="42" t="str">
        <f>VLOOKUP($D648,Sheet1!$M$5:$O$192,2,TRUE)</f>
        <v>~~|</v>
      </c>
      <c r="T648" s="117">
        <f>IF(ABS(D648-VLOOKUP($D648,Sheet1!$M$5:$T$192,8,TRUE))&lt;10^-10,"SoCA",D648-VLOOKUP($D648,Sheet1!$M$5:$T$192,8,TRUE))</f>
        <v>0.17400745322105848</v>
      </c>
      <c r="U648" s="109" t="str">
        <f>IF(VLOOKUP($D648,Sheet1!$M$5:$U$192,9,TRUE)=0,"",IF(ABS(D648-VLOOKUP($D648,Sheet1!$M$5:$U$192,9,TRUE))&lt;10^-10,"Alt.",D648-VLOOKUP($D648,Sheet1!$M$5:$U$192,9,TRUE)))</f>
        <v/>
      </c>
      <c r="V648" s="132">
        <f>$D648-Sheet1!$M$3*$R648</f>
        <v>0.185073296864676</v>
      </c>
      <c r="Z648" s="6"/>
      <c r="AA648" s="61"/>
    </row>
    <row r="649" spans="1:27" ht="13.5">
      <c r="A649" t="s">
        <v>686</v>
      </c>
      <c r="B649">
        <v>64881</v>
      </c>
      <c r="C649">
        <v>65536</v>
      </c>
      <c r="D649" s="13">
        <f t="shared" si="14"/>
        <v>17.389877647998112</v>
      </c>
      <c r="E649" s="61" t="s">
        <v>1931</v>
      </c>
      <c r="F649" s="65">
        <v>109.27241411566202</v>
      </c>
      <c r="G649" s="6">
        <v>524</v>
      </c>
      <c r="H649" s="6">
        <v>531</v>
      </c>
      <c r="I649" s="65">
        <v>-7.0707581215608268</v>
      </c>
      <c r="J649" s="6">
        <f>VLOOKUP($D649,Sheet1!$A$5:$C$192,3,TRUE)</f>
        <v>3</v>
      </c>
      <c r="K649" s="42" t="str">
        <f>VLOOKUP($D649,Sheet1!$A$5:$C$192,2,TRUE)</f>
        <v>~|(</v>
      </c>
      <c r="L649" s="6">
        <f>FLOOR(VLOOKUP($D649,Sheet1!$D$5:$F$192,3,TRUE),1)</f>
        <v>7</v>
      </c>
      <c r="M649" s="42" t="str">
        <f>VLOOKUP($D649,Sheet1!$D$5:$F$192,2,TRUE)</f>
        <v>~~|</v>
      </c>
      <c r="N649" s="23">
        <f>FLOOR(VLOOKUP($D649,Sheet1!$G$5:$I$192,3,TRUE),1)</f>
        <v>9</v>
      </c>
      <c r="O649" s="42" t="str">
        <f>VLOOKUP($D649,Sheet1!$G$5:$I$192,2,TRUE)</f>
        <v>~~|</v>
      </c>
      <c r="P649" s="23">
        <v>1</v>
      </c>
      <c r="Q649" s="43" t="str">
        <f>VLOOKUP($D649,Sheet1!$J$5:$L$192,2,TRUE)</f>
        <v>~~|</v>
      </c>
      <c r="R649" s="23">
        <f>FLOOR(VLOOKUP($D649,Sheet1!$M$5:$O$192,3,TRUE),1)</f>
        <v>36</v>
      </c>
      <c r="S649" s="42" t="str">
        <f>VLOOKUP($D649,Sheet1!$M$5:$O$192,2,TRUE)</f>
        <v>|~''</v>
      </c>
      <c r="T649" s="117">
        <f>IF(ABS(D649-VLOOKUP($D649,Sheet1!$M$5:$T$192,8,TRUE))&lt;10^-10,"SoCA",D649-VLOOKUP($D649,Sheet1!$M$5:$T$192,8,TRUE))</f>
        <v>1.3011367805709995E-2</v>
      </c>
      <c r="U649" s="109">
        <f>IF(VLOOKUP($D649,Sheet1!$M$5:$U$192,9,TRUE)=0,"",IF(ABS(D649-VLOOKUP($D649,Sheet1!$M$5:$U$192,9,TRUE))&lt;10^-10,"Alt.",D649-VLOOKUP($D649,Sheet1!$M$5:$U$192,9,TRUE)))</f>
        <v>2.706353520016691E-2</v>
      </c>
      <c r="V649" s="132">
        <f>$D649-Sheet1!$M$3*$R649</f>
        <v>-0.17518766563978261</v>
      </c>
      <c r="Z649" s="6"/>
      <c r="AA649" s="61"/>
    </row>
    <row r="650" spans="1:27" ht="13.5">
      <c r="A650" t="s">
        <v>828</v>
      </c>
      <c r="B650">
        <v>97</v>
      </c>
      <c r="C650">
        <v>98</v>
      </c>
      <c r="D650" s="13">
        <f t="shared" si="14"/>
        <v>17.756402313696579</v>
      </c>
      <c r="E650" s="61" t="s">
        <v>1931</v>
      </c>
      <c r="F650" s="65">
        <v>133.2409182771207</v>
      </c>
      <c r="G650" s="6">
        <v>755</v>
      </c>
      <c r="H650" s="6">
        <v>675</v>
      </c>
      <c r="I650" s="65">
        <v>-1.0933263805499387</v>
      </c>
      <c r="J650" s="6">
        <f>VLOOKUP($D650,Sheet1!$A$5:$C$192,3,TRUE)</f>
        <v>3</v>
      </c>
      <c r="K650" s="42" t="str">
        <f>VLOOKUP($D650,Sheet1!$A$5:$C$192,2,TRUE)</f>
        <v>~|(</v>
      </c>
      <c r="L650" s="6">
        <f>FLOOR(VLOOKUP($D650,Sheet1!$D$5:$F$192,3,TRUE),1)</f>
        <v>7</v>
      </c>
      <c r="M650" s="42" t="str">
        <f>VLOOKUP($D650,Sheet1!$D$5:$F$192,2,TRUE)</f>
        <v>~~|</v>
      </c>
      <c r="N650" s="23">
        <f>FLOOR(VLOOKUP($D650,Sheet1!$G$5:$I$192,3,TRUE),1)</f>
        <v>9</v>
      </c>
      <c r="O650" s="42" t="str">
        <f>VLOOKUP($D650,Sheet1!$G$5:$I$192,2,TRUE)</f>
        <v>~~|</v>
      </c>
      <c r="P650" s="23">
        <v>1</v>
      </c>
      <c r="Q650" s="43" t="str">
        <f>VLOOKUP($D650,Sheet1!$J$5:$L$192,2,TRUE)</f>
        <v>~~|</v>
      </c>
      <c r="R650" s="23">
        <f>FLOOR(VLOOKUP($D650,Sheet1!$M$5:$O$192,3,TRUE),1)</f>
        <v>36</v>
      </c>
      <c r="S650" s="42" t="str">
        <f>VLOOKUP($D650,Sheet1!$M$5:$O$192,2,TRUE)</f>
        <v>~~|</v>
      </c>
      <c r="T650" s="117">
        <f>IF(ABS(D650-VLOOKUP($D650,Sheet1!$M$5:$T$192,8,TRUE))&lt;10^-10,"SoCA",D650-VLOOKUP($D650,Sheet1!$M$5:$T$192,8,TRUE))</f>
        <v>0.18027115641506697</v>
      </c>
      <c r="U650" s="109" t="str">
        <f>IF(VLOOKUP($D650,Sheet1!$M$5:$U$192,9,TRUE)=0,"",IF(ABS(D650-VLOOKUP($D650,Sheet1!$M$5:$U$192,9,TRUE))&lt;10^-10,"Alt.",D650-VLOOKUP($D650,Sheet1!$M$5:$U$192,9,TRUE)))</f>
        <v/>
      </c>
      <c r="V650" s="132">
        <f>$D650-Sheet1!$M$3*$R650</f>
        <v>0.19133700005868448</v>
      </c>
      <c r="Z650" s="6"/>
      <c r="AA650" s="61"/>
    </row>
    <row r="651" spans="1:27" ht="13.5">
      <c r="A651" t="s">
        <v>1478</v>
      </c>
      <c r="B651">
        <v>360855</v>
      </c>
      <c r="C651">
        <v>364544</v>
      </c>
      <c r="D651" s="13">
        <f t="shared" si="14"/>
        <v>17.608454006986381</v>
      </c>
      <c r="E651" s="61" t="s">
        <v>1931</v>
      </c>
      <c r="F651" s="65">
        <v>136.30980954494933</v>
      </c>
      <c r="G651" s="6">
        <v>1247</v>
      </c>
      <c r="H651" s="6">
        <v>1327</v>
      </c>
      <c r="I651" s="65">
        <v>-9.0842166643007651</v>
      </c>
      <c r="J651" s="6">
        <f>VLOOKUP($D651,Sheet1!$A$5:$C$192,3,TRUE)</f>
        <v>3</v>
      </c>
      <c r="K651" s="42" t="str">
        <f>VLOOKUP($D651,Sheet1!$A$5:$C$192,2,TRUE)</f>
        <v>~|(</v>
      </c>
      <c r="L651" s="6">
        <f>FLOOR(VLOOKUP($D651,Sheet1!$D$5:$F$192,3,TRUE),1)</f>
        <v>7</v>
      </c>
      <c r="M651" s="42" t="str">
        <f>VLOOKUP($D651,Sheet1!$D$5:$F$192,2,TRUE)</f>
        <v>~~|</v>
      </c>
      <c r="N651" s="23">
        <f>FLOOR(VLOOKUP($D651,Sheet1!$G$5:$I$192,3,TRUE),1)</f>
        <v>9</v>
      </c>
      <c r="O651" s="42" t="str">
        <f>VLOOKUP($D651,Sheet1!$G$5:$I$192,2,TRUE)</f>
        <v>~~|</v>
      </c>
      <c r="P651" s="23">
        <v>1</v>
      </c>
      <c r="Q651" s="43" t="str">
        <f>VLOOKUP($D651,Sheet1!$J$5:$L$192,2,TRUE)</f>
        <v>~~|</v>
      </c>
      <c r="R651" s="23">
        <f>FLOOR(VLOOKUP($D651,Sheet1!$M$5:$O$192,3,TRUE),1)</f>
        <v>36</v>
      </c>
      <c r="S651" s="42" t="str">
        <f>VLOOKUP($D651,Sheet1!$M$5:$O$192,2,TRUE)</f>
        <v>~~|</v>
      </c>
      <c r="T651" s="117">
        <f>IF(ABS(D651-VLOOKUP($D651,Sheet1!$M$5:$T$192,8,TRUE))&lt;10^-10,"SoCA",D651-VLOOKUP($D651,Sheet1!$M$5:$T$192,8,TRUE))</f>
        <v>3.2322849704868872E-2</v>
      </c>
      <c r="U651" s="109" t="str">
        <f>IF(VLOOKUP($D651,Sheet1!$M$5:$U$192,9,TRUE)=0,"",IF(ABS(D651-VLOOKUP($D651,Sheet1!$M$5:$U$192,9,TRUE))&lt;10^-10,"Alt.",D651-VLOOKUP($D651,Sheet1!$M$5:$U$192,9,TRUE)))</f>
        <v/>
      </c>
      <c r="V651" s="132">
        <f>$D651-Sheet1!$M$3*$R651</f>
        <v>4.3388693348486385E-2</v>
      </c>
      <c r="Z651" s="6"/>
      <c r="AA651" s="61"/>
    </row>
    <row r="652" spans="1:27" ht="13.5">
      <c r="A652" t="s">
        <v>1624</v>
      </c>
      <c r="B652">
        <v>643072</v>
      </c>
      <c r="C652">
        <v>649539</v>
      </c>
      <c r="D652" s="13">
        <f t="shared" si="14"/>
        <v>17.323052348678363</v>
      </c>
      <c r="E652" s="61" t="s">
        <v>1931</v>
      </c>
      <c r="F652" s="65">
        <v>189.46146838125301</v>
      </c>
      <c r="G652" s="6">
        <v>1530</v>
      </c>
      <c r="H652" s="6">
        <v>1473</v>
      </c>
      <c r="I652" s="65">
        <v>8.9333565555761112</v>
      </c>
      <c r="J652" s="6">
        <f>VLOOKUP($D652,Sheet1!$A$5:$C$192,3,TRUE)</f>
        <v>3</v>
      </c>
      <c r="K652" s="42" t="str">
        <f>VLOOKUP($D652,Sheet1!$A$5:$C$192,2,TRUE)</f>
        <v>~|(</v>
      </c>
      <c r="L652" s="6">
        <f>FLOOR(VLOOKUP($D652,Sheet1!$D$5:$F$192,3,TRUE),1)</f>
        <v>7</v>
      </c>
      <c r="M652" s="42" t="str">
        <f>VLOOKUP($D652,Sheet1!$D$5:$F$192,2,TRUE)</f>
        <v>~~|</v>
      </c>
      <c r="N652" s="23">
        <f>FLOOR(VLOOKUP($D652,Sheet1!$G$5:$I$192,3,TRUE),1)</f>
        <v>9</v>
      </c>
      <c r="O652" s="42" t="str">
        <f>VLOOKUP($D652,Sheet1!$G$5:$I$192,2,TRUE)</f>
        <v>~~|</v>
      </c>
      <c r="P652" s="23">
        <v>1</v>
      </c>
      <c r="Q652" s="43" t="str">
        <f>VLOOKUP($D652,Sheet1!$J$5:$L$192,2,TRUE)</f>
        <v>~~|</v>
      </c>
      <c r="R652" s="23">
        <f>FLOOR(VLOOKUP($D652,Sheet1!$M$5:$O$192,3,TRUE),1)</f>
        <v>36</v>
      </c>
      <c r="S652" s="42" t="str">
        <f>VLOOKUP($D652,Sheet1!$M$5:$O$192,2,TRUE)</f>
        <v>|~''</v>
      </c>
      <c r="T652" s="117">
        <f>IF(ABS(D652-VLOOKUP($D652,Sheet1!$M$5:$T$192,8,TRUE))&lt;10^-10,"SoCA",D652-VLOOKUP($D652,Sheet1!$M$5:$T$192,8,TRUE))</f>
        <v>-5.3813931514039126E-2</v>
      </c>
      <c r="U652" s="109">
        <f>IF(VLOOKUP($D652,Sheet1!$M$5:$U$192,9,TRUE)=0,"",IF(ABS(D652-VLOOKUP($D652,Sheet1!$M$5:$U$192,9,TRUE))&lt;10^-10,"Alt.",D652-VLOOKUP($D652,Sheet1!$M$5:$U$192,9,TRUE)))</f>
        <v>-3.976176411958221E-2</v>
      </c>
      <c r="V652" s="132">
        <f>$D652-Sheet1!$M$3*$R652</f>
        <v>-0.24201296495953173</v>
      </c>
      <c r="Z652" s="6"/>
      <c r="AA652" s="61"/>
    </row>
    <row r="653" spans="1:27" ht="13.5">
      <c r="A653" t="s">
        <v>1326</v>
      </c>
      <c r="B653">
        <v>62208</v>
      </c>
      <c r="C653">
        <v>62843</v>
      </c>
      <c r="D653" s="13">
        <f t="shared" si="14"/>
        <v>17.582315538557651</v>
      </c>
      <c r="E653" s="61" t="s">
        <v>1931</v>
      </c>
      <c r="F653" s="65">
        <v>380.70921748151108</v>
      </c>
      <c r="G653" s="6">
        <v>1236</v>
      </c>
      <c r="H653" s="6">
        <v>1175</v>
      </c>
      <c r="I653" s="65">
        <v>-6.0826072235719826</v>
      </c>
      <c r="J653" s="6">
        <f>VLOOKUP($D653,Sheet1!$A$5:$C$192,3,TRUE)</f>
        <v>3</v>
      </c>
      <c r="K653" s="42" t="str">
        <f>VLOOKUP($D653,Sheet1!$A$5:$C$192,2,TRUE)</f>
        <v>~|(</v>
      </c>
      <c r="L653" s="6">
        <f>FLOOR(VLOOKUP($D653,Sheet1!$D$5:$F$192,3,TRUE),1)</f>
        <v>7</v>
      </c>
      <c r="M653" s="42" t="str">
        <f>VLOOKUP($D653,Sheet1!$D$5:$F$192,2,TRUE)</f>
        <v>~~|</v>
      </c>
      <c r="N653" s="23">
        <f>FLOOR(VLOOKUP($D653,Sheet1!$G$5:$I$192,3,TRUE),1)</f>
        <v>9</v>
      </c>
      <c r="O653" s="42" t="str">
        <f>VLOOKUP($D653,Sheet1!$G$5:$I$192,2,TRUE)</f>
        <v>~~|</v>
      </c>
      <c r="P653" s="23">
        <v>1</v>
      </c>
      <c r="Q653" s="43" t="str">
        <f>VLOOKUP($D653,Sheet1!$J$5:$L$192,2,TRUE)</f>
        <v>~~|</v>
      </c>
      <c r="R653" s="23">
        <f>FLOOR(VLOOKUP($D653,Sheet1!$M$5:$O$192,3,TRUE),1)</f>
        <v>36</v>
      </c>
      <c r="S653" s="42" t="str">
        <f>VLOOKUP($D653,Sheet1!$M$5:$O$192,2,TRUE)</f>
        <v>~~|</v>
      </c>
      <c r="T653" s="117">
        <f>IF(ABS(D653-VLOOKUP($D653,Sheet1!$M$5:$T$192,8,TRUE))&lt;10^-10,"SoCA",D653-VLOOKUP($D653,Sheet1!$M$5:$T$192,8,TRUE))</f>
        <v>6.1843812761388506E-3</v>
      </c>
      <c r="U653" s="109" t="str">
        <f>IF(VLOOKUP($D653,Sheet1!$M$5:$U$192,9,TRUE)=0,"",IF(ABS(D653-VLOOKUP($D653,Sheet1!$M$5:$U$192,9,TRUE))&lt;10^-10,"Alt.",D653-VLOOKUP($D653,Sheet1!$M$5:$U$192,9,TRUE)))</f>
        <v/>
      </c>
      <c r="V653" s="132">
        <f>$D653-Sheet1!$M$3*$R653</f>
        <v>1.7250224919756363E-2</v>
      </c>
      <c r="Z653" s="6"/>
      <c r="AA653" s="61"/>
    </row>
    <row r="654" spans="1:27" ht="13.5">
      <c r="A654" t="s">
        <v>943</v>
      </c>
      <c r="B654">
        <v>1263</v>
      </c>
      <c r="C654">
        <v>1276</v>
      </c>
      <c r="D654" s="13">
        <f t="shared" si="14"/>
        <v>17.728427972780473</v>
      </c>
      <c r="E654" s="61" t="s">
        <v>1931</v>
      </c>
      <c r="F654" s="65">
        <v>553.3061648354095</v>
      </c>
      <c r="G654" s="6">
        <v>853</v>
      </c>
      <c r="H654" s="6">
        <v>791</v>
      </c>
      <c r="I654" s="65">
        <v>-2.0916038984636613</v>
      </c>
      <c r="J654" s="6">
        <f>VLOOKUP($D654,Sheet1!$A$5:$C$192,3,TRUE)</f>
        <v>3</v>
      </c>
      <c r="K654" s="42" t="str">
        <f>VLOOKUP($D654,Sheet1!$A$5:$C$192,2,TRUE)</f>
        <v>~|(</v>
      </c>
      <c r="L654" s="6">
        <f>FLOOR(VLOOKUP($D654,Sheet1!$D$5:$F$192,3,TRUE),1)</f>
        <v>7</v>
      </c>
      <c r="M654" s="42" t="str">
        <f>VLOOKUP($D654,Sheet1!$D$5:$F$192,2,TRUE)</f>
        <v>~~|</v>
      </c>
      <c r="N654" s="23">
        <f>FLOOR(VLOOKUP($D654,Sheet1!$G$5:$I$192,3,TRUE),1)</f>
        <v>9</v>
      </c>
      <c r="O654" s="42" t="str">
        <f>VLOOKUP($D654,Sheet1!$G$5:$I$192,2,TRUE)</f>
        <v>~~|</v>
      </c>
      <c r="P654" s="23">
        <v>1</v>
      </c>
      <c r="Q654" s="43" t="str">
        <f>VLOOKUP($D654,Sheet1!$J$5:$L$192,2,TRUE)</f>
        <v>~~|</v>
      </c>
      <c r="R654" s="23">
        <f>FLOOR(VLOOKUP($D654,Sheet1!$M$5:$O$192,3,TRUE),1)</f>
        <v>36</v>
      </c>
      <c r="S654" s="42" t="str">
        <f>VLOOKUP($D654,Sheet1!$M$5:$O$192,2,TRUE)</f>
        <v>~~|</v>
      </c>
      <c r="T654" s="117">
        <f>IF(ABS(D654-VLOOKUP($D654,Sheet1!$M$5:$T$192,8,TRUE))&lt;10^-10,"SoCA",D654-VLOOKUP($D654,Sheet1!$M$5:$T$192,8,TRUE))</f>
        <v>0.15229681549896057</v>
      </c>
      <c r="U654" s="109" t="str">
        <f>IF(VLOOKUP($D654,Sheet1!$M$5:$U$192,9,TRUE)=0,"",IF(ABS(D654-VLOOKUP($D654,Sheet1!$M$5:$U$192,9,TRUE))&lt;10^-10,"Alt.",D654-VLOOKUP($D654,Sheet1!$M$5:$U$192,9,TRUE)))</f>
        <v/>
      </c>
      <c r="V654" s="132">
        <f>$D654-Sheet1!$M$3*$R654</f>
        <v>0.16336265914257808</v>
      </c>
      <c r="Z654" s="6"/>
      <c r="AA654" s="61"/>
    </row>
    <row r="655" spans="1:27" ht="13.5">
      <c r="A655" t="s">
        <v>1214</v>
      </c>
      <c r="B655">
        <v>451072</v>
      </c>
      <c r="C655">
        <v>455625</v>
      </c>
      <c r="D655" s="13">
        <f t="shared" si="14"/>
        <v>17.387009947167609</v>
      </c>
      <c r="E655" s="61" t="s">
        <v>1931</v>
      </c>
      <c r="F655" s="65">
        <v>1443.3759183123311</v>
      </c>
      <c r="G655" s="6">
        <v>1121</v>
      </c>
      <c r="H655" s="6">
        <v>1063</v>
      </c>
      <c r="I655" s="65">
        <v>4.9294184532269103</v>
      </c>
      <c r="J655" s="6">
        <f>VLOOKUP($D655,Sheet1!$A$5:$C$192,3,TRUE)</f>
        <v>3</v>
      </c>
      <c r="K655" s="42" t="str">
        <f>VLOOKUP($D655,Sheet1!$A$5:$C$192,2,TRUE)</f>
        <v>~|(</v>
      </c>
      <c r="L655" s="6">
        <f>FLOOR(VLOOKUP($D655,Sheet1!$D$5:$F$192,3,TRUE),1)</f>
        <v>7</v>
      </c>
      <c r="M655" s="42" t="str">
        <f>VLOOKUP($D655,Sheet1!$D$5:$F$192,2,TRUE)</f>
        <v>~~|</v>
      </c>
      <c r="N655" s="23">
        <f>FLOOR(VLOOKUP($D655,Sheet1!$G$5:$I$192,3,TRUE),1)</f>
        <v>9</v>
      </c>
      <c r="O655" s="42" t="str">
        <f>VLOOKUP($D655,Sheet1!$G$5:$I$192,2,TRUE)</f>
        <v>~~|</v>
      </c>
      <c r="P655" s="23">
        <v>1</v>
      </c>
      <c r="Q655" s="43" t="str">
        <f>VLOOKUP($D655,Sheet1!$J$5:$L$192,2,TRUE)</f>
        <v>~~|</v>
      </c>
      <c r="R655" s="23">
        <f>FLOOR(VLOOKUP($D655,Sheet1!$M$5:$O$192,3,TRUE),1)</f>
        <v>36</v>
      </c>
      <c r="S655" s="42" t="str">
        <f>VLOOKUP($D655,Sheet1!$M$5:$O$192,2,TRUE)</f>
        <v>|~''</v>
      </c>
      <c r="T655" s="117">
        <f>IF(ABS(D655-VLOOKUP($D655,Sheet1!$M$5:$T$192,8,TRUE))&lt;10^-10,"SoCA",D655-VLOOKUP($D655,Sheet1!$M$5:$T$192,8,TRUE))</f>
        <v>1.0143666975206855E-2</v>
      </c>
      <c r="U655" s="109">
        <f>IF(VLOOKUP($D655,Sheet1!$M$5:$U$192,9,TRUE)=0,"",IF(ABS(D655-VLOOKUP($D655,Sheet1!$M$5:$U$192,9,TRUE))&lt;10^-10,"Alt.",D655-VLOOKUP($D655,Sheet1!$M$5:$U$192,9,TRUE)))</f>
        <v>2.4195834369663771E-2</v>
      </c>
      <c r="V655" s="132">
        <f>$D655-Sheet1!$M$3*$R655</f>
        <v>-0.17805536647028575</v>
      </c>
      <c r="Z655" s="6"/>
      <c r="AA655" s="61"/>
    </row>
    <row r="656" spans="1:27" ht="13.5">
      <c r="A656" t="s">
        <v>1620</v>
      </c>
      <c r="B656">
        <v>163840000</v>
      </c>
      <c r="C656">
        <v>165514347</v>
      </c>
      <c r="D656" s="13">
        <f t="shared" si="14"/>
        <v>17.602388033527731</v>
      </c>
      <c r="E656" s="61" t="s">
        <v>1931</v>
      </c>
      <c r="F656" s="65">
        <v>4549.8786693436605</v>
      </c>
      <c r="G656" s="6">
        <v>1525</v>
      </c>
      <c r="H656" s="6">
        <v>1469</v>
      </c>
      <c r="I656" s="65">
        <v>8.9161568397846285</v>
      </c>
      <c r="J656" s="6">
        <f>VLOOKUP($D656,Sheet1!$A$5:$C$192,3,TRUE)</f>
        <v>3</v>
      </c>
      <c r="K656" s="42" t="str">
        <f>VLOOKUP($D656,Sheet1!$A$5:$C$192,2,TRUE)</f>
        <v>~|(</v>
      </c>
      <c r="L656" s="6">
        <f>FLOOR(VLOOKUP($D656,Sheet1!$D$5:$F$192,3,TRUE),1)</f>
        <v>7</v>
      </c>
      <c r="M656" s="42" t="str">
        <f>VLOOKUP($D656,Sheet1!$D$5:$F$192,2,TRUE)</f>
        <v>~~|</v>
      </c>
      <c r="N656" s="23">
        <f>FLOOR(VLOOKUP($D656,Sheet1!$G$5:$I$192,3,TRUE),1)</f>
        <v>9</v>
      </c>
      <c r="O656" s="42" t="str">
        <f>VLOOKUP($D656,Sheet1!$G$5:$I$192,2,TRUE)</f>
        <v>~~|</v>
      </c>
      <c r="P656" s="23">
        <v>1</v>
      </c>
      <c r="Q656" s="43" t="str">
        <f>VLOOKUP($D656,Sheet1!$J$5:$L$192,2,TRUE)</f>
        <v>~~|</v>
      </c>
      <c r="R656" s="23">
        <f>FLOOR(VLOOKUP($D656,Sheet1!$M$5:$O$192,3,TRUE),1)</f>
        <v>36</v>
      </c>
      <c r="S656" s="42" t="str">
        <f>VLOOKUP($D656,Sheet1!$M$5:$O$192,2,TRUE)</f>
        <v>~~|</v>
      </c>
      <c r="T656" s="117">
        <f>IF(ABS(D656-VLOOKUP($D656,Sheet1!$M$5:$T$192,8,TRUE))&lt;10^-10,"SoCA",D656-VLOOKUP($D656,Sheet1!$M$5:$T$192,8,TRUE))</f>
        <v>2.6256876246218752E-2</v>
      </c>
      <c r="U656" s="109" t="str">
        <f>IF(VLOOKUP($D656,Sheet1!$M$5:$U$192,9,TRUE)=0,"",IF(ABS(D656-VLOOKUP($D656,Sheet1!$M$5:$U$192,9,TRUE))&lt;10^-10,"Alt.",D656-VLOOKUP($D656,Sheet1!$M$5:$U$192,9,TRUE)))</f>
        <v/>
      </c>
      <c r="V656" s="132">
        <f>$D656-Sheet1!$M$3*$R656</f>
        <v>3.7322719889836264E-2</v>
      </c>
      <c r="Z656" s="6"/>
      <c r="AA656" s="61"/>
    </row>
    <row r="657" spans="1:27" ht="13.5">
      <c r="A657" t="s">
        <v>941</v>
      </c>
      <c r="B657">
        <v>27543</v>
      </c>
      <c r="C657">
        <v>27826</v>
      </c>
      <c r="D657" s="13">
        <f t="shared" si="14"/>
        <v>17.697393933140212</v>
      </c>
      <c r="E657" s="61" t="s">
        <v>1931</v>
      </c>
      <c r="F657" s="65">
        <v>23094.17363449738</v>
      </c>
      <c r="G657" s="6">
        <v>851</v>
      </c>
      <c r="H657" s="6">
        <v>789</v>
      </c>
      <c r="I657" s="65">
        <v>-2.0896930195798484</v>
      </c>
      <c r="J657" s="6">
        <f>VLOOKUP($D657,Sheet1!$A$5:$C$192,3,TRUE)</f>
        <v>3</v>
      </c>
      <c r="K657" s="42" t="str">
        <f>VLOOKUP($D657,Sheet1!$A$5:$C$192,2,TRUE)</f>
        <v>~|(</v>
      </c>
      <c r="L657" s="6">
        <f>FLOOR(VLOOKUP($D657,Sheet1!$D$5:$F$192,3,TRUE),1)</f>
        <v>7</v>
      </c>
      <c r="M657" s="42" t="str">
        <f>VLOOKUP($D657,Sheet1!$D$5:$F$192,2,TRUE)</f>
        <v>~~|</v>
      </c>
      <c r="N657" s="23">
        <f>FLOOR(VLOOKUP($D657,Sheet1!$G$5:$I$192,3,TRUE),1)</f>
        <v>9</v>
      </c>
      <c r="O657" s="42" t="str">
        <f>VLOOKUP($D657,Sheet1!$G$5:$I$192,2,TRUE)</f>
        <v>~~|</v>
      </c>
      <c r="P657" s="23">
        <v>1</v>
      </c>
      <c r="Q657" s="43" t="str">
        <f>VLOOKUP($D657,Sheet1!$J$5:$L$192,2,TRUE)</f>
        <v>~~|</v>
      </c>
      <c r="R657" s="23">
        <f>FLOOR(VLOOKUP($D657,Sheet1!$M$5:$O$192,3,TRUE),1)</f>
        <v>36</v>
      </c>
      <c r="S657" s="42" t="str">
        <f>VLOOKUP($D657,Sheet1!$M$5:$O$192,2,TRUE)</f>
        <v>~~|</v>
      </c>
      <c r="T657" s="117">
        <f>IF(ABS(D657-VLOOKUP($D657,Sheet1!$M$5:$T$192,8,TRUE))&lt;10^-10,"SoCA",D657-VLOOKUP($D657,Sheet1!$M$5:$T$192,8,TRUE))</f>
        <v>0.12126277585869971</v>
      </c>
      <c r="U657" s="109" t="str">
        <f>IF(VLOOKUP($D657,Sheet1!$M$5:$U$192,9,TRUE)=0,"",IF(ABS(D657-VLOOKUP($D657,Sheet1!$M$5:$U$192,9,TRUE))&lt;10^-10,"Alt.",D657-VLOOKUP($D657,Sheet1!$M$5:$U$192,9,TRUE)))</f>
        <v/>
      </c>
      <c r="V657" s="132">
        <f>$D657-Sheet1!$M$3*$R657</f>
        <v>0.13232861950231722</v>
      </c>
      <c r="Z657" s="6"/>
      <c r="AA657" s="61"/>
    </row>
    <row r="658" spans="1:27" ht="13.5">
      <c r="A658" t="s">
        <v>1404</v>
      </c>
      <c r="B658">
        <v>102895616</v>
      </c>
      <c r="C658">
        <v>103932801</v>
      </c>
      <c r="D658" s="13">
        <f t="shared" si="14"/>
        <v>17.363426796549398</v>
      </c>
      <c r="E658" s="61" t="s">
        <v>1931</v>
      </c>
      <c r="F658" s="65">
        <v>35335.383130112714</v>
      </c>
      <c r="G658" s="6">
        <v>1318</v>
      </c>
      <c r="H658" s="6">
        <v>1253</v>
      </c>
      <c r="I658" s="65">
        <v>6.9308705537285693</v>
      </c>
      <c r="J658" s="6">
        <f>VLOOKUP($D658,Sheet1!$A$5:$C$192,3,TRUE)</f>
        <v>3</v>
      </c>
      <c r="K658" s="42" t="str">
        <f>VLOOKUP($D658,Sheet1!$A$5:$C$192,2,TRUE)</f>
        <v>~|(</v>
      </c>
      <c r="L658" s="6">
        <f>FLOOR(VLOOKUP($D658,Sheet1!$D$5:$F$192,3,TRUE),1)</f>
        <v>7</v>
      </c>
      <c r="M658" s="42" t="str">
        <f>VLOOKUP($D658,Sheet1!$D$5:$F$192,2,TRUE)</f>
        <v>~~|</v>
      </c>
      <c r="N658" s="23">
        <f>FLOOR(VLOOKUP($D658,Sheet1!$G$5:$I$192,3,TRUE),1)</f>
        <v>9</v>
      </c>
      <c r="O658" s="42" t="str">
        <f>VLOOKUP($D658,Sheet1!$G$5:$I$192,2,TRUE)</f>
        <v>~~|</v>
      </c>
      <c r="P658" s="23">
        <v>1</v>
      </c>
      <c r="Q658" s="43" t="str">
        <f>VLOOKUP($D658,Sheet1!$J$5:$L$192,2,TRUE)</f>
        <v>~~|</v>
      </c>
      <c r="R658" s="23">
        <f>FLOOR(VLOOKUP($D658,Sheet1!$M$5:$O$192,3,TRUE),1)</f>
        <v>36</v>
      </c>
      <c r="S658" s="42" t="str">
        <f>VLOOKUP($D658,Sheet1!$M$5:$O$192,2,TRUE)</f>
        <v>|~''</v>
      </c>
      <c r="T658" s="117">
        <f>IF(ABS(D658-VLOOKUP($D658,Sheet1!$M$5:$T$192,8,TRUE))&lt;10^-10,"SoCA",D658-VLOOKUP($D658,Sheet1!$M$5:$T$192,8,TRUE))</f>
        <v>-1.3439483643004735E-2</v>
      </c>
      <c r="U658" s="109">
        <f>IF(VLOOKUP($D658,Sheet1!$M$5:$U$192,9,TRUE)=0,"",IF(ABS(D658-VLOOKUP($D658,Sheet1!$M$5:$U$192,9,TRUE))&lt;10^-10,"Alt.",D658-VLOOKUP($D658,Sheet1!$M$5:$U$192,9,TRUE)))</f>
        <v>6.1268375145218101E-4</v>
      </c>
      <c r="V658" s="132">
        <f>$D658-Sheet1!$M$3*$R658</f>
        <v>-0.20163851708849734</v>
      </c>
      <c r="Z658" s="6"/>
      <c r="AA658" s="61"/>
    </row>
    <row r="659" spans="1:27" ht="13.5">
      <c r="A659" t="s">
        <v>1512</v>
      </c>
      <c r="B659">
        <v>30560829440</v>
      </c>
      <c r="C659">
        <v>30876584319</v>
      </c>
      <c r="D659" s="13">
        <f t="shared" si="14"/>
        <v>17.795358800027831</v>
      </c>
      <c r="E659" s="61" t="s">
        <v>1931</v>
      </c>
      <c r="F659" s="65">
        <v>456421.47314408177</v>
      </c>
      <c r="G659" s="6">
        <v>1419</v>
      </c>
      <c r="H659" s="6">
        <v>1361</v>
      </c>
      <c r="I659" s="65">
        <v>7.9042749266604391</v>
      </c>
      <c r="J659" s="6">
        <f>VLOOKUP($D659,Sheet1!$A$5:$C$192,3,TRUE)</f>
        <v>3</v>
      </c>
      <c r="K659" s="42" t="str">
        <f>VLOOKUP($D659,Sheet1!$A$5:$C$192,2,TRUE)</f>
        <v>~|(</v>
      </c>
      <c r="L659" s="6">
        <f>FLOOR(VLOOKUP($D659,Sheet1!$D$5:$F$192,3,TRUE),1)</f>
        <v>7</v>
      </c>
      <c r="M659" s="42" t="str">
        <f>VLOOKUP($D659,Sheet1!$D$5:$F$192,2,TRUE)</f>
        <v>~~|</v>
      </c>
      <c r="N659" s="23">
        <f>FLOOR(VLOOKUP($D659,Sheet1!$G$5:$I$192,3,TRUE),1)</f>
        <v>9</v>
      </c>
      <c r="O659" s="42" t="str">
        <f>VLOOKUP($D659,Sheet1!$G$5:$I$192,2,TRUE)</f>
        <v>~~|</v>
      </c>
      <c r="P659" s="23">
        <v>1</v>
      </c>
      <c r="Q659" s="43" t="str">
        <f>VLOOKUP($D659,Sheet1!$J$5:$L$192,2,TRUE)</f>
        <v>~~|</v>
      </c>
      <c r="R659" s="23">
        <f>FLOOR(VLOOKUP($D659,Sheet1!$M$5:$O$192,3,TRUE),1)</f>
        <v>36</v>
      </c>
      <c r="S659" s="42" t="str">
        <f>VLOOKUP($D659,Sheet1!$M$5:$O$192,2,TRUE)</f>
        <v>~~|</v>
      </c>
      <c r="T659" s="117">
        <f>IF(ABS(D659-VLOOKUP($D659,Sheet1!$M$5:$T$192,8,TRUE))&lt;10^-10,"SoCA",D659-VLOOKUP($D659,Sheet1!$M$5:$T$192,8,TRUE))</f>
        <v>0.21922764274631845</v>
      </c>
      <c r="U659" s="109" t="str">
        <f>IF(VLOOKUP($D659,Sheet1!$M$5:$U$192,9,TRUE)=0,"",IF(ABS(D659-VLOOKUP($D659,Sheet1!$M$5:$U$192,9,TRUE))&lt;10^-10,"Alt.",D659-VLOOKUP($D659,Sheet1!$M$5:$U$192,9,TRUE)))</f>
        <v/>
      </c>
      <c r="V659" s="132">
        <f>$D659-Sheet1!$M$3*$R659</f>
        <v>0.23029348638993596</v>
      </c>
      <c r="Z659" s="6"/>
      <c r="AA659" s="61"/>
    </row>
    <row r="660" spans="1:27" ht="13.5">
      <c r="A660" t="s">
        <v>1314</v>
      </c>
      <c r="B660">
        <v>17095245824</v>
      </c>
      <c r="C660">
        <v>17269328385</v>
      </c>
      <c r="D660" s="13">
        <f t="shared" si="14"/>
        <v>17.540169893093093</v>
      </c>
      <c r="E660" s="61" t="s">
        <v>1931</v>
      </c>
      <c r="F660" s="65">
        <v>1520597.6380523804</v>
      </c>
      <c r="G660" s="6">
        <v>1222</v>
      </c>
      <c r="H660" s="6">
        <v>1163</v>
      </c>
      <c r="I660" s="65">
        <v>5.9199878373642161</v>
      </c>
      <c r="J660" s="6">
        <f>VLOOKUP($D660,Sheet1!$A$5:$C$192,3,TRUE)</f>
        <v>3</v>
      </c>
      <c r="K660" s="42" t="str">
        <f>VLOOKUP($D660,Sheet1!$A$5:$C$192,2,TRUE)</f>
        <v>~|(</v>
      </c>
      <c r="L660" s="6">
        <f>FLOOR(VLOOKUP($D660,Sheet1!$D$5:$F$192,3,TRUE),1)</f>
        <v>7</v>
      </c>
      <c r="M660" s="42" t="str">
        <f>VLOOKUP($D660,Sheet1!$D$5:$F$192,2,TRUE)</f>
        <v>~~|</v>
      </c>
      <c r="N660" s="23">
        <f>FLOOR(VLOOKUP($D660,Sheet1!$G$5:$I$192,3,TRUE),1)</f>
        <v>9</v>
      </c>
      <c r="O660" s="42" t="str">
        <f>VLOOKUP($D660,Sheet1!$G$5:$I$192,2,TRUE)</f>
        <v>~~|</v>
      </c>
      <c r="P660" s="23">
        <v>1</v>
      </c>
      <c r="Q660" s="43" t="str">
        <f>VLOOKUP($D660,Sheet1!$J$5:$L$192,2,TRUE)</f>
        <v>~~|</v>
      </c>
      <c r="R660" s="23">
        <f>FLOOR(VLOOKUP($D660,Sheet1!$M$5:$O$192,3,TRUE),1)</f>
        <v>36</v>
      </c>
      <c r="S660" s="42" t="str">
        <f>VLOOKUP($D660,Sheet1!$M$5:$O$192,2,TRUE)</f>
        <v>~~|</v>
      </c>
      <c r="T660" s="117">
        <f>IF(ABS(D660-VLOOKUP($D660,Sheet1!$M$5:$T$192,8,TRUE))&lt;10^-10,"SoCA",D660-VLOOKUP($D660,Sheet1!$M$5:$T$192,8,TRUE))</f>
        <v>-3.5961264188419051E-2</v>
      </c>
      <c r="U660" s="109" t="str">
        <f>IF(VLOOKUP($D660,Sheet1!$M$5:$U$192,9,TRUE)=0,"",IF(ABS(D660-VLOOKUP($D660,Sheet1!$M$5:$U$192,9,TRUE))&lt;10^-10,"Alt.",D660-VLOOKUP($D660,Sheet1!$M$5:$U$192,9,TRUE)))</f>
        <v/>
      </c>
      <c r="V660" s="132">
        <f>$D660-Sheet1!$M$3*$R660</f>
        <v>-2.4895420544801539E-2</v>
      </c>
      <c r="Z660" s="6"/>
      <c r="AA660" s="61"/>
    </row>
    <row r="661" spans="1:27" ht="13.5">
      <c r="A661" s="40" t="s">
        <v>77</v>
      </c>
      <c r="B661" s="40">
        <f>5*19</f>
        <v>95</v>
      </c>
      <c r="C661" s="40">
        <f>2^5*3</f>
        <v>96</v>
      </c>
      <c r="D661" s="13">
        <f t="shared" si="14"/>
        <v>18.128270868250066</v>
      </c>
      <c r="E661" s="61">
        <v>19</v>
      </c>
      <c r="F661" s="65">
        <v>33.627752903659449</v>
      </c>
      <c r="G661" s="6">
        <v>91</v>
      </c>
      <c r="H661" s="6">
        <v>81</v>
      </c>
      <c r="I661" s="65">
        <v>-0.11622368224470203</v>
      </c>
      <c r="J661" s="6">
        <f>VLOOKUP($D661,Sheet1!$A$5:$C$192,3,TRUE)</f>
        <v>3</v>
      </c>
      <c r="K661" s="42" t="str">
        <f>VLOOKUP($D661,Sheet1!$A$5:$C$192,2,TRUE)</f>
        <v>~|(</v>
      </c>
      <c r="L661" s="6">
        <f>FLOOR(VLOOKUP($D661,Sheet1!$D$5:$F$192,3,TRUE),1)</f>
        <v>7</v>
      </c>
      <c r="M661" s="42" t="str">
        <f>VLOOKUP($D661,Sheet1!$D$5:$F$192,2,TRUE)</f>
        <v>~~|</v>
      </c>
      <c r="N661" s="23">
        <f>FLOOR(VLOOKUP($D661,Sheet1!$G$5:$I$192,3,TRUE),1)</f>
        <v>9</v>
      </c>
      <c r="O661" s="42" t="str">
        <f>VLOOKUP($D661,Sheet1!$G$5:$I$192,2,TRUE)</f>
        <v>~~|</v>
      </c>
      <c r="P661" s="23">
        <v>1</v>
      </c>
      <c r="Q661" s="43" t="str">
        <f>VLOOKUP($D661,Sheet1!$J$5:$L$192,2,TRUE)</f>
        <v>~~|'</v>
      </c>
      <c r="R661" s="40">
        <f>FLOOR(VLOOKUP($D661,Sheet1!$M$5:$O$192,3,TRUE),1)</f>
        <v>37</v>
      </c>
      <c r="S661" s="46" t="str">
        <f>VLOOKUP($D661,Sheet1!$M$5:$O$192,2,TRUE)</f>
        <v>.)|~</v>
      </c>
      <c r="T661" s="116" t="str">
        <f>IF(ABS(D661-VLOOKUP($D661,Sheet1!$M$5:$T$192,8,TRUE))&lt;10^-10,"SoCA",D661-VLOOKUP($D661,Sheet1!$M$5:$T$192,8,TRUE))</f>
        <v>SoCA</v>
      </c>
      <c r="U661" s="115" t="str">
        <f>IF(VLOOKUP($D661,Sheet1!$M$5:$U$192,9,TRUE)=0,"",IF(ABS(D661-VLOOKUP($D661,Sheet1!$M$5:$U$192,9,TRUE))&lt;10^-10,"Alt.",D661-VLOOKUP($D661,Sheet1!$M$5:$U$192,9,TRUE)))</f>
        <v/>
      </c>
      <c r="V661" s="134">
        <f>$D661-Sheet1!$M$3*$R661</f>
        <v>7.5287073677785088E-2</v>
      </c>
      <c r="Z661" s="6"/>
      <c r="AA661" s="61"/>
    </row>
    <row r="662" spans="1:27" ht="13.5">
      <c r="A662" s="87" t="s">
        <v>274</v>
      </c>
      <c r="B662" s="87">
        <f>2^8*31</f>
        <v>7936</v>
      </c>
      <c r="C662" s="87">
        <f>3^6*11</f>
        <v>8019</v>
      </c>
      <c r="D662" s="13">
        <f t="shared" si="14"/>
        <v>18.012375092831025</v>
      </c>
      <c r="E662" s="61">
        <v>31</v>
      </c>
      <c r="F662" s="65">
        <v>42.979076184206924</v>
      </c>
      <c r="G662" s="6">
        <v>89</v>
      </c>
      <c r="H662" s="6">
        <v>83</v>
      </c>
      <c r="I662" s="65">
        <v>4.8909124428791468</v>
      </c>
      <c r="J662" s="6">
        <f>VLOOKUP($D662,Sheet1!$A$5:$C$192,3,TRUE)</f>
        <v>3</v>
      </c>
      <c r="K662" s="42" t="str">
        <f>VLOOKUP($D662,Sheet1!$A$5:$C$192,2,TRUE)</f>
        <v>~|(</v>
      </c>
      <c r="L662" s="6">
        <f>FLOOR(VLOOKUP($D662,Sheet1!$D$5:$F$192,3,TRUE),1)</f>
        <v>7</v>
      </c>
      <c r="M662" s="42" t="str">
        <f>VLOOKUP($D662,Sheet1!$D$5:$F$192,2,TRUE)</f>
        <v>~~|</v>
      </c>
      <c r="N662" s="23">
        <f>FLOOR(VLOOKUP($D662,Sheet1!$G$5:$I$192,3,TRUE),1)</f>
        <v>9</v>
      </c>
      <c r="O662" s="42" t="str">
        <f>VLOOKUP($D662,Sheet1!$G$5:$I$192,2,TRUE)</f>
        <v>~~|</v>
      </c>
      <c r="P662" s="23">
        <v>1</v>
      </c>
      <c r="Q662" s="45" t="str">
        <f>VLOOKUP($D662,Sheet1!$J$5:$L$192,2,TRUE)</f>
        <v>~~|'</v>
      </c>
      <c r="R662" s="38">
        <f>FLOOR(VLOOKUP($D662,Sheet1!$M$5:$O$192,3,TRUE),1)</f>
        <v>37</v>
      </c>
      <c r="S662" s="45" t="str">
        <f>VLOOKUP($D662,Sheet1!$M$5:$O$192,2,TRUE)</f>
        <v>~~|'</v>
      </c>
      <c r="T662" s="108">
        <f>IF(ABS(D662-VLOOKUP($D662,Sheet1!$M$5:$T$192,8,TRUE))&lt;10^-10,"SoCA",D662-VLOOKUP($D662,Sheet1!$M$5:$T$192,8,TRUE))</f>
        <v>1.3527769594688266E-2</v>
      </c>
      <c r="U662" s="108">
        <f>IF(VLOOKUP($D662,Sheet1!$M$5:$U$192,9,TRUE)=0,"",IF(ABS(D662-VLOOKUP($D662,Sheet1!$M$5:$U$192,9,TRUE))&lt;10^-10,"Alt.",D662-VLOOKUP($D662,Sheet1!$M$5:$U$192,9,TRUE)))</f>
        <v>4.0488064797123968E-2</v>
      </c>
      <c r="V662" s="133">
        <f>$D662-Sheet1!$M$3*$R662</f>
        <v>-4.060870174125597E-2</v>
      </c>
      <c r="Z662" s="6"/>
      <c r="AA662" s="61"/>
    </row>
    <row r="663" spans="1:27" ht="13.5">
      <c r="A663" s="23" t="s">
        <v>463</v>
      </c>
      <c r="B663" s="23">
        <f>3^4*7*11*13</f>
        <v>81081</v>
      </c>
      <c r="C663" s="23">
        <f>2^14*5</f>
        <v>81920</v>
      </c>
      <c r="D663" s="13">
        <f t="shared" si="14"/>
        <v>17.822199800092751</v>
      </c>
      <c r="E663" s="61">
        <v>13</v>
      </c>
      <c r="F663" s="65">
        <v>50.904731198295593</v>
      </c>
      <c r="G663" s="6">
        <v>318</v>
      </c>
      <c r="H663" s="6">
        <v>301</v>
      </c>
      <c r="I663" s="65">
        <v>-5.0973777715006454</v>
      </c>
      <c r="J663" s="6">
        <f>VLOOKUP($D663,Sheet1!$A$5:$C$192,3,TRUE)</f>
        <v>3</v>
      </c>
      <c r="K663" s="42" t="str">
        <f>VLOOKUP($D663,Sheet1!$A$5:$C$192,2,TRUE)</f>
        <v>~|(</v>
      </c>
      <c r="L663" s="6">
        <f>FLOOR(VLOOKUP($D663,Sheet1!$D$5:$F$192,3,TRUE),1)</f>
        <v>7</v>
      </c>
      <c r="M663" s="42" t="str">
        <f>VLOOKUP($D663,Sheet1!$D$5:$F$192,2,TRUE)</f>
        <v>~~|</v>
      </c>
      <c r="N663" s="23">
        <f>FLOOR(VLOOKUP($D663,Sheet1!$G$5:$I$192,3,TRUE),1)</f>
        <v>9</v>
      </c>
      <c r="O663" s="42" t="str">
        <f>VLOOKUP($D663,Sheet1!$G$5:$I$192,2,TRUE)</f>
        <v>~~|</v>
      </c>
      <c r="P663" s="23">
        <v>1</v>
      </c>
      <c r="Q663" s="43" t="str">
        <f>VLOOKUP($D663,Sheet1!$J$5:$L$192,2,TRUE)</f>
        <v>~~|'</v>
      </c>
      <c r="R663" s="23">
        <f>FLOOR(VLOOKUP($D663,Sheet1!$M$5:$O$192,3,TRUE),1)</f>
        <v>37</v>
      </c>
      <c r="S663" s="43" t="str">
        <f>VLOOKUP($D663,Sheet1!$M$5:$O$192,2,TRUE)</f>
        <v>~~|'</v>
      </c>
      <c r="T663" s="117">
        <f>IF(ABS(D663-VLOOKUP($D663,Sheet1!$M$5:$T$192,8,TRUE))&lt;10^-10,"SoCA",D663-VLOOKUP($D663,Sheet1!$M$5:$T$192,8,TRUE))</f>
        <v>-0.17664752314358623</v>
      </c>
      <c r="U663" s="117">
        <f>IF(VLOOKUP($D663,Sheet1!$M$5:$U$192,9,TRUE)=0,"",IF(ABS(D663-VLOOKUP($D663,Sheet1!$M$5:$U$192,9,TRUE))&lt;10^-10,"Alt.",D663-VLOOKUP($D663,Sheet1!$M$5:$U$192,9,TRUE)))</f>
        <v>-0.14968722794115052</v>
      </c>
      <c r="V663" s="132">
        <f>$D663-Sheet1!$M$3*$R663</f>
        <v>-0.23078399447953046</v>
      </c>
      <c r="Z663" s="6"/>
      <c r="AA663" s="61"/>
    </row>
    <row r="664" spans="1:27" ht="13.5">
      <c r="A664" t="s">
        <v>1402</v>
      </c>
      <c r="B664">
        <v>2097152</v>
      </c>
      <c r="C664">
        <v>2119203</v>
      </c>
      <c r="D664" s="13">
        <f t="shared" si="14"/>
        <v>18.108432555809227</v>
      </c>
      <c r="E664" s="61">
        <v>19</v>
      </c>
      <c r="F664" s="65">
        <v>54.15970443054406</v>
      </c>
      <c r="G664" s="6">
        <v>1316</v>
      </c>
      <c r="H664" s="6">
        <v>1251</v>
      </c>
      <c r="I664" s="65">
        <v>6.8849978349271872</v>
      </c>
      <c r="J664" s="6">
        <f>VLOOKUP($D664,Sheet1!$A$5:$C$192,3,TRUE)</f>
        <v>3</v>
      </c>
      <c r="K664" s="42" t="str">
        <f>VLOOKUP($D664,Sheet1!$A$5:$C$192,2,TRUE)</f>
        <v>~|(</v>
      </c>
      <c r="L664" s="6">
        <f>FLOOR(VLOOKUP($D664,Sheet1!$D$5:$F$192,3,TRUE),1)</f>
        <v>7</v>
      </c>
      <c r="M664" s="42" t="str">
        <f>VLOOKUP($D664,Sheet1!$D$5:$F$192,2,TRUE)</f>
        <v>~~|</v>
      </c>
      <c r="N664" s="23">
        <f>FLOOR(VLOOKUP($D664,Sheet1!$G$5:$I$192,3,TRUE),1)</f>
        <v>9</v>
      </c>
      <c r="O664" s="42" t="str">
        <f>VLOOKUP($D664,Sheet1!$G$5:$I$192,2,TRUE)</f>
        <v>~~|</v>
      </c>
      <c r="P664" s="23">
        <v>1</v>
      </c>
      <c r="Q664" s="43" t="str">
        <f>VLOOKUP($D664,Sheet1!$J$5:$L$192,2,TRUE)</f>
        <v>~~|'</v>
      </c>
      <c r="R664" s="23">
        <f>FLOOR(VLOOKUP($D664,Sheet1!$M$5:$O$192,3,TRUE),1)</f>
        <v>37</v>
      </c>
      <c r="S664" s="42" t="str">
        <f>VLOOKUP($D664,Sheet1!$M$5:$O$192,2,TRUE)</f>
        <v>.)|~</v>
      </c>
      <c r="T664" s="117">
        <f>IF(ABS(D664-VLOOKUP($D664,Sheet1!$M$5:$T$192,8,TRUE))&lt;10^-10,"SoCA",D664-VLOOKUP($D664,Sheet1!$M$5:$T$192,8,TRUE))</f>
        <v>-1.9838312440921158E-2</v>
      </c>
      <c r="U664" s="109" t="str">
        <f>IF(VLOOKUP($D664,Sheet1!$M$5:$U$192,9,TRUE)=0,"",IF(ABS(D664-VLOOKUP($D664,Sheet1!$M$5:$U$192,9,TRUE))&lt;10^-10,"Alt.",D664-VLOOKUP($D664,Sheet1!$M$5:$U$192,9,TRUE)))</f>
        <v/>
      </c>
      <c r="V664" s="132">
        <f>$D664-Sheet1!$M$3*$R664</f>
        <v>5.5448761236945643E-2</v>
      </c>
      <c r="Z664" s="6"/>
      <c r="AA664" s="61"/>
    </row>
    <row r="665" spans="1:27" ht="13.5">
      <c r="A665" t="s">
        <v>1641</v>
      </c>
      <c r="B665">
        <v>32805</v>
      </c>
      <c r="C665">
        <v>33152</v>
      </c>
      <c r="D665" s="13">
        <f t="shared" si="14"/>
        <v>18.216224435930553</v>
      </c>
      <c r="E665" s="61">
        <v>37</v>
      </c>
      <c r="F665" s="65">
        <v>67.629815922658878</v>
      </c>
      <c r="G665" s="6">
        <v>1549</v>
      </c>
      <c r="H665" s="6">
        <v>1490</v>
      </c>
      <c r="I665" s="65">
        <v>-9.1216393038390819</v>
      </c>
      <c r="J665" s="6">
        <f>VLOOKUP($D665,Sheet1!$A$5:$C$192,3,TRUE)</f>
        <v>3</v>
      </c>
      <c r="K665" s="42" t="str">
        <f>VLOOKUP($D665,Sheet1!$A$5:$C$192,2,TRUE)</f>
        <v>~|(</v>
      </c>
      <c r="L665" s="6">
        <f>FLOOR(VLOOKUP($D665,Sheet1!$D$5:$F$192,3,TRUE),1)</f>
        <v>7</v>
      </c>
      <c r="M665" s="42" t="str">
        <f>VLOOKUP($D665,Sheet1!$D$5:$F$192,2,TRUE)</f>
        <v>~~|</v>
      </c>
      <c r="N665" s="23">
        <f>FLOOR(VLOOKUP($D665,Sheet1!$G$5:$I$192,3,TRUE),1)</f>
        <v>9</v>
      </c>
      <c r="O665" s="42" t="str">
        <f>VLOOKUP($D665,Sheet1!$G$5:$I$192,2,TRUE)</f>
        <v>~~|</v>
      </c>
      <c r="P665" s="23">
        <v>1</v>
      </c>
      <c r="Q665" s="43" t="str">
        <f>VLOOKUP($D665,Sheet1!$J$5:$L$192,2,TRUE)</f>
        <v>~~|'</v>
      </c>
      <c r="R665" s="23">
        <f>FLOOR(VLOOKUP($D665,Sheet1!$M$5:$O$192,3,TRUE),1)</f>
        <v>37</v>
      </c>
      <c r="S665" s="42" t="str">
        <f>VLOOKUP($D665,Sheet1!$M$5:$O$192,2,TRUE)</f>
        <v>.)|~</v>
      </c>
      <c r="T665" s="117">
        <f>IF(ABS(D665-VLOOKUP($D665,Sheet1!$M$5:$T$192,8,TRUE))&lt;10^-10,"SoCA",D665-VLOOKUP($D665,Sheet1!$M$5:$T$192,8,TRUE))</f>
        <v>8.7953567680404632E-2</v>
      </c>
      <c r="U665" s="109" t="str">
        <f>IF(VLOOKUP($D665,Sheet1!$M$5:$U$192,9,TRUE)=0,"",IF(ABS(D665-VLOOKUP($D665,Sheet1!$M$5:$U$192,9,TRUE))&lt;10^-10,"Alt.",D665-VLOOKUP($D665,Sheet1!$M$5:$U$192,9,TRUE)))</f>
        <v/>
      </c>
      <c r="V665" s="132">
        <f>$D665-Sheet1!$M$3*$R665</f>
        <v>0.16324064135827143</v>
      </c>
      <c r="Z665" s="6"/>
      <c r="AA665" s="61"/>
    </row>
    <row r="666" spans="1:27" ht="13.5">
      <c r="A666" t="s">
        <v>1329</v>
      </c>
      <c r="B666">
        <v>11907</v>
      </c>
      <c r="C666">
        <v>12032</v>
      </c>
      <c r="D666" s="13">
        <f t="shared" si="14"/>
        <v>18.079804747977711</v>
      </c>
      <c r="E666" s="61">
        <v>47</v>
      </c>
      <c r="F666" s="65">
        <v>74.358418876142807</v>
      </c>
      <c r="G666" s="6">
        <v>1240</v>
      </c>
      <c r="H666" s="6">
        <v>1178</v>
      </c>
      <c r="I666" s="65">
        <v>-6.1132394466478441</v>
      </c>
      <c r="J666" s="6">
        <f>VLOOKUP($D666,Sheet1!$A$5:$C$192,3,TRUE)</f>
        <v>3</v>
      </c>
      <c r="K666" s="42" t="str">
        <f>VLOOKUP($D666,Sheet1!$A$5:$C$192,2,TRUE)</f>
        <v>~|(</v>
      </c>
      <c r="L666" s="6">
        <f>FLOOR(VLOOKUP($D666,Sheet1!$D$5:$F$192,3,TRUE),1)</f>
        <v>7</v>
      </c>
      <c r="M666" s="42" t="str">
        <f>VLOOKUP($D666,Sheet1!$D$5:$F$192,2,TRUE)</f>
        <v>~~|</v>
      </c>
      <c r="N666" s="23">
        <f>FLOOR(VLOOKUP($D666,Sheet1!$G$5:$I$192,3,TRUE),1)</f>
        <v>9</v>
      </c>
      <c r="O666" s="42" t="str">
        <f>VLOOKUP($D666,Sheet1!$G$5:$I$192,2,TRUE)</f>
        <v>~~|</v>
      </c>
      <c r="P666" s="23">
        <v>1</v>
      </c>
      <c r="Q666" s="43" t="str">
        <f>VLOOKUP($D666,Sheet1!$J$5:$L$192,2,TRUE)</f>
        <v>~~|'</v>
      </c>
      <c r="R666" s="23">
        <f>FLOOR(VLOOKUP($D666,Sheet1!$M$5:$O$192,3,TRUE),1)</f>
        <v>37</v>
      </c>
      <c r="S666" s="42" t="str">
        <f>VLOOKUP($D666,Sheet1!$M$5:$O$192,2,TRUE)</f>
        <v>.)|~</v>
      </c>
      <c r="T666" s="117">
        <f>IF(ABS(D666-VLOOKUP($D666,Sheet1!$M$5:$T$192,8,TRUE))&lt;10^-10,"SoCA",D666-VLOOKUP($D666,Sheet1!$M$5:$T$192,8,TRUE))</f>
        <v>-4.8466120272436797E-2</v>
      </c>
      <c r="U666" s="109" t="str">
        <f>IF(VLOOKUP($D666,Sheet1!$M$5:$U$192,9,TRUE)=0,"",IF(ABS(D666-VLOOKUP($D666,Sheet1!$M$5:$U$192,9,TRUE))&lt;10^-10,"Alt.",D666-VLOOKUP($D666,Sheet1!$M$5:$U$192,9,TRUE)))</f>
        <v/>
      </c>
      <c r="V666" s="132">
        <f>$D666-Sheet1!$M$3*$R666</f>
        <v>2.6820953405430004E-2</v>
      </c>
      <c r="Z666" s="6"/>
      <c r="AA666" s="61"/>
    </row>
    <row r="667" spans="1:27" ht="13.5">
      <c r="A667" t="s">
        <v>1048</v>
      </c>
      <c r="B667">
        <v>266240</v>
      </c>
      <c r="C667">
        <v>269001</v>
      </c>
      <c r="D667" s="13">
        <f t="shared" si="14"/>
        <v>17.861036830654506</v>
      </c>
      <c r="E667" s="61">
        <v>41</v>
      </c>
      <c r="F667" s="65">
        <v>75.063126478780404</v>
      </c>
      <c r="G667" s="6">
        <v>815</v>
      </c>
      <c r="H667" s="6">
        <v>896</v>
      </c>
      <c r="I667" s="65">
        <v>6.9002308910366619</v>
      </c>
      <c r="J667" s="6">
        <f>VLOOKUP($D667,Sheet1!$A$5:$C$192,3,TRUE)</f>
        <v>3</v>
      </c>
      <c r="K667" s="42" t="str">
        <f>VLOOKUP($D667,Sheet1!$A$5:$C$192,2,TRUE)</f>
        <v>~|(</v>
      </c>
      <c r="L667" s="6">
        <f>FLOOR(VLOOKUP($D667,Sheet1!$D$5:$F$192,3,TRUE),1)</f>
        <v>7</v>
      </c>
      <c r="M667" s="42" t="str">
        <f>VLOOKUP($D667,Sheet1!$D$5:$F$192,2,TRUE)</f>
        <v>~~|</v>
      </c>
      <c r="N667" s="23">
        <f>FLOOR(VLOOKUP($D667,Sheet1!$G$5:$I$192,3,TRUE),1)</f>
        <v>9</v>
      </c>
      <c r="O667" s="42" t="str">
        <f>VLOOKUP($D667,Sheet1!$G$5:$I$192,2,TRUE)</f>
        <v>~~|</v>
      </c>
      <c r="P667" s="23">
        <v>1</v>
      </c>
      <c r="Q667" s="43" t="str">
        <f>VLOOKUP($D667,Sheet1!$J$5:$L$192,2,TRUE)</f>
        <v>~~|'</v>
      </c>
      <c r="R667" s="23">
        <f>FLOOR(VLOOKUP($D667,Sheet1!$M$5:$O$192,3,TRUE),1)</f>
        <v>37</v>
      </c>
      <c r="S667" s="42" t="str">
        <f>VLOOKUP($D667,Sheet1!$M$5:$O$192,2,TRUE)</f>
        <v>~~|'</v>
      </c>
      <c r="T667" s="117">
        <f>IF(ABS(D667-VLOOKUP($D667,Sheet1!$M$5:$T$192,8,TRUE))&lt;10^-10,"SoCA",D667-VLOOKUP($D667,Sheet1!$M$5:$T$192,8,TRUE))</f>
        <v>-0.13781049258183131</v>
      </c>
      <c r="U667" s="109">
        <f>IF(VLOOKUP($D667,Sheet1!$M$5:$U$192,9,TRUE)=0,"",IF(ABS(D667-VLOOKUP($D667,Sheet1!$M$5:$U$192,9,TRUE))&lt;10^-10,"Alt.",D667-VLOOKUP($D667,Sheet1!$M$5:$U$192,9,TRUE)))</f>
        <v>-0.11085019737939561</v>
      </c>
      <c r="V667" s="132">
        <f>$D667-Sheet1!$M$3*$R667</f>
        <v>-0.19194696391777555</v>
      </c>
      <c r="Z667" s="6"/>
      <c r="AA667" s="61"/>
    </row>
    <row r="668" spans="1:27" ht="13.5">
      <c r="A668" s="6" t="s">
        <v>1372</v>
      </c>
      <c r="B668" s="18">
        <f>2^30</f>
        <v>1073741824</v>
      </c>
      <c r="C668" s="18">
        <f>3^11*5^3*7^2</f>
        <v>1085025375</v>
      </c>
      <c r="D668" s="13">
        <f t="shared" si="14"/>
        <v>18.097964052015907</v>
      </c>
      <c r="E668" s="61">
        <v>7</v>
      </c>
      <c r="F668" s="65">
        <v>86.398171239453376</v>
      </c>
      <c r="G668" s="6">
        <v>634</v>
      </c>
      <c r="H668" s="6">
        <v>1221</v>
      </c>
      <c r="I668" s="65">
        <v>9.8856424188445775</v>
      </c>
      <c r="J668" s="6">
        <f>VLOOKUP($D668,Sheet1!$A$5:$C$192,3,TRUE)</f>
        <v>3</v>
      </c>
      <c r="K668" s="42" t="str">
        <f>VLOOKUP($D668,Sheet1!$A$5:$C$192,2,TRUE)</f>
        <v>~|(</v>
      </c>
      <c r="L668" s="6">
        <f>FLOOR(VLOOKUP($D668,Sheet1!$D$5:$F$192,3,TRUE),1)</f>
        <v>7</v>
      </c>
      <c r="M668" s="42" t="str">
        <f>VLOOKUP($D668,Sheet1!$D$5:$F$192,2,TRUE)</f>
        <v>~~|</v>
      </c>
      <c r="N668" s="23">
        <f>FLOOR(VLOOKUP($D668,Sheet1!$G$5:$I$192,3,TRUE),1)</f>
        <v>9</v>
      </c>
      <c r="O668" s="42" t="str">
        <f>VLOOKUP($D668,Sheet1!$G$5:$I$192,2,TRUE)</f>
        <v>~~|</v>
      </c>
      <c r="P668" s="23">
        <v>1</v>
      </c>
      <c r="Q668" s="43" t="str">
        <f>VLOOKUP($D668,Sheet1!$J$5:$L$192,2,TRUE)</f>
        <v>~~|'</v>
      </c>
      <c r="R668" s="23">
        <f>FLOOR(VLOOKUP($D668,Sheet1!$M$5:$O$192,3,TRUE),1)</f>
        <v>37</v>
      </c>
      <c r="S668" s="42" t="str">
        <f>VLOOKUP($D668,Sheet1!$M$5:$O$192,2,TRUE)</f>
        <v>.)|~</v>
      </c>
      <c r="T668" s="117">
        <f>IF(ABS(D668-VLOOKUP($D668,Sheet1!$M$5:$T$192,8,TRUE))&lt;10^-10,"SoCA",D668-VLOOKUP($D668,Sheet1!$M$5:$T$192,8,TRUE))</f>
        <v>-3.0306816234240586E-2</v>
      </c>
      <c r="U668" s="109" t="str">
        <f>IF(VLOOKUP($D668,Sheet1!$M$5:$U$192,9,TRUE)=0,"",IF(ABS(D668-VLOOKUP($D668,Sheet1!$M$5:$U$192,9,TRUE))&lt;10^-10,"Alt.",D668-VLOOKUP($D668,Sheet1!$M$5:$U$192,9,TRUE)))</f>
        <v/>
      </c>
      <c r="V668" s="132">
        <f>$D668-Sheet1!$M$3*$R668</f>
        <v>4.4980257443626215E-2</v>
      </c>
      <c r="Z668" s="6"/>
      <c r="AA668" s="61"/>
    </row>
    <row r="669" spans="1:27" ht="13.5">
      <c r="A669" t="s">
        <v>811</v>
      </c>
      <c r="B669">
        <v>472</v>
      </c>
      <c r="C669">
        <v>477</v>
      </c>
      <c r="D669" s="13">
        <f t="shared" si="14"/>
        <v>18.242887972404485</v>
      </c>
      <c r="E669" s="61" t="s">
        <v>1931</v>
      </c>
      <c r="F669" s="65">
        <v>112.07634923480889</v>
      </c>
      <c r="G669" s="6">
        <v>686</v>
      </c>
      <c r="H669" s="6">
        <v>658</v>
      </c>
      <c r="I669" s="65">
        <v>0.87671892507966542</v>
      </c>
      <c r="J669" s="6">
        <f>VLOOKUP($D669,Sheet1!$A$5:$C$192,3,TRUE)</f>
        <v>3</v>
      </c>
      <c r="K669" s="42" t="str">
        <f>VLOOKUP($D669,Sheet1!$A$5:$C$192,2,TRUE)</f>
        <v>~|(</v>
      </c>
      <c r="L669" s="6">
        <f>FLOOR(VLOOKUP($D669,Sheet1!$D$5:$F$192,3,TRUE),1)</f>
        <v>7</v>
      </c>
      <c r="M669" s="42" t="str">
        <f>VLOOKUP($D669,Sheet1!$D$5:$F$192,2,TRUE)</f>
        <v>~~|</v>
      </c>
      <c r="N669" s="23">
        <f>FLOOR(VLOOKUP($D669,Sheet1!$G$5:$I$192,3,TRUE),1)</f>
        <v>9</v>
      </c>
      <c r="O669" s="42" t="str">
        <f>VLOOKUP($D669,Sheet1!$G$5:$I$192,2,TRUE)</f>
        <v>~~|</v>
      </c>
      <c r="P669" s="23">
        <v>1</v>
      </c>
      <c r="Q669" s="43" t="str">
        <f>VLOOKUP($D669,Sheet1!$J$5:$L$192,2,TRUE)</f>
        <v>~~|'</v>
      </c>
      <c r="R669" s="23">
        <f>FLOOR(VLOOKUP($D669,Sheet1!$M$5:$O$192,3,TRUE),1)</f>
        <v>37</v>
      </c>
      <c r="S669" s="42" t="str">
        <f>VLOOKUP($D669,Sheet1!$M$5:$O$192,2,TRUE)</f>
        <v>.)|~</v>
      </c>
      <c r="T669" s="117">
        <f>IF(ABS(D669-VLOOKUP($D669,Sheet1!$M$5:$T$192,8,TRUE))&lt;10^-10,"SoCA",D669-VLOOKUP($D669,Sheet1!$M$5:$T$192,8,TRUE))</f>
        <v>0.11461710415433757</v>
      </c>
      <c r="U669" s="109" t="str">
        <f>IF(VLOOKUP($D669,Sheet1!$M$5:$U$192,9,TRUE)=0,"",IF(ABS(D669-VLOOKUP($D669,Sheet1!$M$5:$U$192,9,TRUE))&lt;10^-10,"Alt.",D669-VLOOKUP($D669,Sheet1!$M$5:$U$192,9,TRUE)))</f>
        <v/>
      </c>
      <c r="V669" s="132">
        <f>$D669-Sheet1!$M$3*$R669</f>
        <v>0.18990417783220437</v>
      </c>
      <c r="Z669" s="6"/>
      <c r="AA669" s="61"/>
    </row>
    <row r="670" spans="1:27" ht="13.5">
      <c r="A670" s="6" t="s">
        <v>336</v>
      </c>
      <c r="B670" s="6">
        <f>2^5*3</f>
        <v>96</v>
      </c>
      <c r="C670" s="6">
        <v>97</v>
      </c>
      <c r="D670" s="13">
        <f t="shared" si="14"/>
        <v>17.940409759165927</v>
      </c>
      <c r="E670" s="61" t="s">
        <v>1931</v>
      </c>
      <c r="F670" s="65">
        <v>116.47997387231942</v>
      </c>
      <c r="G670" s="6">
        <v>185</v>
      </c>
      <c r="H670" s="6">
        <v>169</v>
      </c>
      <c r="I670" s="65">
        <v>-2.1046563893431083</v>
      </c>
      <c r="J670" s="6">
        <f>VLOOKUP($D670,Sheet1!$A$5:$C$192,3,TRUE)</f>
        <v>3</v>
      </c>
      <c r="K670" s="42" t="str">
        <f>VLOOKUP($D670,Sheet1!$A$5:$C$192,2,TRUE)</f>
        <v>~|(</v>
      </c>
      <c r="L670" s="6">
        <f>FLOOR(VLOOKUP($D670,Sheet1!$D$5:$F$192,3,TRUE),1)</f>
        <v>7</v>
      </c>
      <c r="M670" s="42" t="str">
        <f>VLOOKUP($D670,Sheet1!$D$5:$F$192,2,TRUE)</f>
        <v>~~|</v>
      </c>
      <c r="N670" s="23">
        <f>FLOOR(VLOOKUP($D670,Sheet1!$G$5:$I$192,3,TRUE),1)</f>
        <v>9</v>
      </c>
      <c r="O670" s="42" t="str">
        <f>VLOOKUP($D670,Sheet1!$G$5:$I$192,2,TRUE)</f>
        <v>~~|</v>
      </c>
      <c r="P670" s="23">
        <v>1</v>
      </c>
      <c r="Q670" s="43" t="str">
        <f>VLOOKUP($D670,Sheet1!$J$5:$L$192,2,TRUE)</f>
        <v>~~|'</v>
      </c>
      <c r="R670" s="23">
        <f>FLOOR(VLOOKUP($D670,Sheet1!$M$5:$O$192,3,TRUE),1)</f>
        <v>37</v>
      </c>
      <c r="S670" s="42" t="str">
        <f>VLOOKUP($D670,Sheet1!$M$5:$O$192,2,TRUE)</f>
        <v>~~|'</v>
      </c>
      <c r="T670" s="117">
        <f>IF(ABS(D670-VLOOKUP($D670,Sheet1!$M$5:$T$192,8,TRUE))&lt;10^-10,"SoCA",D670-VLOOKUP($D670,Sheet1!$M$5:$T$192,8,TRUE))</f>
        <v>-5.8437564070409564E-2</v>
      </c>
      <c r="U670" s="109">
        <f>IF(VLOOKUP($D670,Sheet1!$M$5:$U$192,9,TRUE)=0,"",IF(ABS(D670-VLOOKUP($D670,Sheet1!$M$5:$U$192,9,TRUE))&lt;10^-10,"Alt.",D670-VLOOKUP($D670,Sheet1!$M$5:$U$192,9,TRUE)))</f>
        <v>-3.1477268867973862E-2</v>
      </c>
      <c r="V670" s="132">
        <f>$D670-Sheet1!$M$3*$R670</f>
        <v>-0.1125740354063538</v>
      </c>
      <c r="Z670" s="6"/>
      <c r="AA670" s="61"/>
    </row>
    <row r="671" spans="1:27" ht="13.5">
      <c r="A671" t="s">
        <v>1436</v>
      </c>
      <c r="B671">
        <v>4849664</v>
      </c>
      <c r="C671">
        <v>4901067</v>
      </c>
      <c r="D671" s="13">
        <f t="shared" si="14"/>
        <v>18.253287515444097</v>
      </c>
      <c r="E671" s="61" t="s">
        <v>1931</v>
      </c>
      <c r="F671" s="65">
        <v>139.82252738890372</v>
      </c>
      <c r="G671" s="6">
        <v>1208</v>
      </c>
      <c r="H671" s="6">
        <v>1285</v>
      </c>
      <c r="I671" s="65">
        <v>8.8760785873271182</v>
      </c>
      <c r="J671" s="6">
        <f>VLOOKUP($D671,Sheet1!$A$5:$C$192,3,TRUE)</f>
        <v>3</v>
      </c>
      <c r="K671" s="42" t="str">
        <f>VLOOKUP($D671,Sheet1!$A$5:$C$192,2,TRUE)</f>
        <v>~|(</v>
      </c>
      <c r="L671" s="6">
        <f>FLOOR(VLOOKUP($D671,Sheet1!$D$5:$F$192,3,TRUE),1)</f>
        <v>7</v>
      </c>
      <c r="M671" s="42" t="str">
        <f>VLOOKUP($D671,Sheet1!$D$5:$F$192,2,TRUE)</f>
        <v>~~|</v>
      </c>
      <c r="N671" s="23">
        <f>FLOOR(VLOOKUP($D671,Sheet1!$G$5:$I$192,3,TRUE),1)</f>
        <v>9</v>
      </c>
      <c r="O671" s="42" t="str">
        <f>VLOOKUP($D671,Sheet1!$G$5:$I$192,2,TRUE)</f>
        <v>~~|</v>
      </c>
      <c r="P671" s="23">
        <v>1</v>
      </c>
      <c r="Q671" s="43" t="str">
        <f>VLOOKUP($D671,Sheet1!$J$5:$L$192,2,TRUE)</f>
        <v>~~|'</v>
      </c>
      <c r="R671" s="23">
        <f>FLOOR(VLOOKUP($D671,Sheet1!$M$5:$O$192,3,TRUE),1)</f>
        <v>37</v>
      </c>
      <c r="S671" s="42" t="str">
        <f>VLOOKUP($D671,Sheet1!$M$5:$O$192,2,TRUE)</f>
        <v>.)|~</v>
      </c>
      <c r="T671" s="117">
        <f>IF(ABS(D671-VLOOKUP($D671,Sheet1!$M$5:$T$192,8,TRUE))&lt;10^-10,"SoCA",D671-VLOOKUP($D671,Sheet1!$M$5:$T$192,8,TRUE))</f>
        <v>0.12501664719394867</v>
      </c>
      <c r="U671" s="109" t="str">
        <f>IF(VLOOKUP($D671,Sheet1!$M$5:$U$192,9,TRUE)=0,"",IF(ABS(D671-VLOOKUP($D671,Sheet1!$M$5:$U$192,9,TRUE))&lt;10^-10,"Alt.",D671-VLOOKUP($D671,Sheet1!$M$5:$U$192,9,TRUE)))</f>
        <v/>
      </c>
      <c r="V671" s="132">
        <f>$D671-Sheet1!$M$3*$R671</f>
        <v>0.20030372087181547</v>
      </c>
      <c r="Z671" s="6"/>
      <c r="AA671" s="61"/>
    </row>
    <row r="672" spans="1:27" ht="13.5">
      <c r="A672" t="s">
        <v>1510</v>
      </c>
      <c r="B672">
        <v>876544</v>
      </c>
      <c r="C672">
        <v>885735</v>
      </c>
      <c r="D672" s="13">
        <f t="shared" si="14"/>
        <v>18.058339702719927</v>
      </c>
      <c r="E672" s="61" t="s">
        <v>1931</v>
      </c>
      <c r="F672" s="65">
        <v>151.18806174541189</v>
      </c>
      <c r="G672" s="6">
        <v>1003</v>
      </c>
      <c r="H672" s="6">
        <v>1359</v>
      </c>
      <c r="I672" s="65">
        <v>9.8880822343900956</v>
      </c>
      <c r="J672" s="6">
        <f>VLOOKUP($D672,Sheet1!$A$5:$C$192,3,TRUE)</f>
        <v>3</v>
      </c>
      <c r="K672" s="42" t="str">
        <f>VLOOKUP($D672,Sheet1!$A$5:$C$192,2,TRUE)</f>
        <v>~|(</v>
      </c>
      <c r="L672" s="6">
        <f>FLOOR(VLOOKUP($D672,Sheet1!$D$5:$F$192,3,TRUE),1)</f>
        <v>7</v>
      </c>
      <c r="M672" s="42" t="str">
        <f>VLOOKUP($D672,Sheet1!$D$5:$F$192,2,TRUE)</f>
        <v>~~|</v>
      </c>
      <c r="N672" s="23">
        <f>FLOOR(VLOOKUP($D672,Sheet1!$G$5:$I$192,3,TRUE),1)</f>
        <v>9</v>
      </c>
      <c r="O672" s="42" t="str">
        <f>VLOOKUP($D672,Sheet1!$G$5:$I$192,2,TRUE)</f>
        <v>~~|</v>
      </c>
      <c r="P672" s="23">
        <v>1</v>
      </c>
      <c r="Q672" s="43" t="str">
        <f>VLOOKUP($D672,Sheet1!$J$5:$L$192,2,TRUE)</f>
        <v>~~|'</v>
      </c>
      <c r="R672" s="23">
        <f>FLOOR(VLOOKUP($D672,Sheet1!$M$5:$O$192,3,TRUE),1)</f>
        <v>37</v>
      </c>
      <c r="S672" s="42" t="str">
        <f>VLOOKUP($D672,Sheet1!$M$5:$O$192,2,TRUE)</f>
        <v>~~|'</v>
      </c>
      <c r="T672" s="117">
        <f>IF(ABS(D672-VLOOKUP($D672,Sheet1!$M$5:$T$192,8,TRUE))&lt;10^-10,"SoCA",D672-VLOOKUP($D672,Sheet1!$M$5:$T$192,8,TRUE))</f>
        <v>5.9492379483589986E-2</v>
      </c>
      <c r="U672" s="109">
        <f>IF(VLOOKUP($D672,Sheet1!$M$5:$U$192,9,TRUE)=0,"",IF(ABS(D672-VLOOKUP($D672,Sheet1!$M$5:$U$192,9,TRUE))&lt;10^-10,"Alt.",D672-VLOOKUP($D672,Sheet1!$M$5:$U$192,9,TRUE)))</f>
        <v>8.6452674686025688E-2</v>
      </c>
      <c r="V672" s="132">
        <f>$D672-Sheet1!$M$3*$R672</f>
        <v>5.3559081476457493E-3</v>
      </c>
      <c r="Z672" s="6"/>
      <c r="AA672" s="61"/>
    </row>
    <row r="673" spans="1:27" ht="13.5">
      <c r="A673" s="6" t="s">
        <v>1844</v>
      </c>
      <c r="B673">
        <v>3956283</v>
      </c>
      <c r="C673">
        <v>3997696</v>
      </c>
      <c r="D673" s="13">
        <f t="shared" si="14"/>
        <v>18.027767872262292</v>
      </c>
      <c r="E673" s="61" t="s">
        <v>1931</v>
      </c>
      <c r="F673" s="65">
        <v>171.4846716650529</v>
      </c>
      <c r="G673" s="59">
        <v>1657</v>
      </c>
      <c r="H673" s="63">
        <v>1000049</v>
      </c>
      <c r="I673" s="65">
        <v>-11.110035346629385</v>
      </c>
      <c r="J673" s="6">
        <f>VLOOKUP($D673,Sheet1!$A$5:$C$192,3,TRUE)</f>
        <v>3</v>
      </c>
      <c r="K673" s="42" t="str">
        <f>VLOOKUP($D673,Sheet1!$A$5:$C$192,2,TRUE)</f>
        <v>~|(</v>
      </c>
      <c r="L673" s="6">
        <f>FLOOR(VLOOKUP($D673,Sheet1!$D$5:$F$192,3,TRUE),1)</f>
        <v>7</v>
      </c>
      <c r="M673" s="42" t="str">
        <f>VLOOKUP($D673,Sheet1!$D$5:$F$192,2,TRUE)</f>
        <v>~~|</v>
      </c>
      <c r="N673" s="23">
        <f>FLOOR(VLOOKUP($D673,Sheet1!$G$5:$I$192,3,TRUE),1)</f>
        <v>9</v>
      </c>
      <c r="O673" s="42" t="str">
        <f>VLOOKUP($D673,Sheet1!$G$5:$I$192,2,TRUE)</f>
        <v>~~|</v>
      </c>
      <c r="P673" s="23">
        <v>1</v>
      </c>
      <c r="Q673" s="43" t="str">
        <f>VLOOKUP($D673,Sheet1!$J$5:$L$192,2,TRUE)</f>
        <v>~~|'</v>
      </c>
      <c r="R673" s="23">
        <f>FLOOR(VLOOKUP($D673,Sheet1!$M$5:$O$192,3,TRUE),1)</f>
        <v>37</v>
      </c>
      <c r="S673" s="42" t="str">
        <f>VLOOKUP($D673,Sheet1!$M$5:$O$192,2,TRUE)</f>
        <v>~~|'</v>
      </c>
      <c r="T673" s="117">
        <f>IF(ABS(D673-VLOOKUP($D673,Sheet1!$M$5:$T$192,8,TRUE))&lt;10^-10,"SoCA",D673-VLOOKUP($D673,Sheet1!$M$5:$T$192,8,TRUE))</f>
        <v>2.8920549025954756E-2</v>
      </c>
      <c r="U673" s="109">
        <f>IF(VLOOKUP($D673,Sheet1!$M$5:$U$192,9,TRUE)=0,"",IF(ABS(D673-VLOOKUP($D673,Sheet1!$M$5:$U$192,9,TRUE))&lt;10^-10,"Alt.",D673-VLOOKUP($D673,Sheet1!$M$5:$U$192,9,TRUE)))</f>
        <v>5.5880844228390458E-2</v>
      </c>
      <c r="V673" s="132">
        <f>$D673-Sheet1!$M$3*$R673</f>
        <v>-2.521592230998948E-2</v>
      </c>
      <c r="Z673" s="6"/>
      <c r="AA673" s="61"/>
    </row>
    <row r="674" spans="1:27" ht="13.5">
      <c r="A674" t="s">
        <v>526</v>
      </c>
      <c r="B674">
        <v>8576</v>
      </c>
      <c r="C674">
        <v>8667</v>
      </c>
      <c r="D674" s="13">
        <f t="shared" si="14"/>
        <v>18.273358593599173</v>
      </c>
      <c r="E674" s="61" t="s">
        <v>1931</v>
      </c>
      <c r="F674" s="65">
        <v>174.33326397602892</v>
      </c>
      <c r="G674" s="6">
        <v>405</v>
      </c>
      <c r="H674" s="6">
        <v>369</v>
      </c>
      <c r="I674" s="65">
        <v>2.8748427379221919</v>
      </c>
      <c r="J674" s="6">
        <f>VLOOKUP($D674,Sheet1!$A$5:$C$192,3,TRUE)</f>
        <v>3</v>
      </c>
      <c r="K674" s="42" t="str">
        <f>VLOOKUP($D674,Sheet1!$A$5:$C$192,2,TRUE)</f>
        <v>~|(</v>
      </c>
      <c r="L674" s="6">
        <f>FLOOR(VLOOKUP($D674,Sheet1!$D$5:$F$192,3,TRUE),1)</f>
        <v>7</v>
      </c>
      <c r="M674" s="42" t="str">
        <f>VLOOKUP($D674,Sheet1!$D$5:$F$192,2,TRUE)</f>
        <v>~~|</v>
      </c>
      <c r="N674" s="23">
        <f>FLOOR(VLOOKUP($D674,Sheet1!$G$5:$I$192,3,TRUE),1)</f>
        <v>9</v>
      </c>
      <c r="O674" s="42" t="str">
        <f>VLOOKUP($D674,Sheet1!$G$5:$I$192,2,TRUE)</f>
        <v>~~|</v>
      </c>
      <c r="P674" s="23">
        <v>1</v>
      </c>
      <c r="Q674" s="43" t="str">
        <f>VLOOKUP($D674,Sheet1!$J$5:$L$192,2,TRUE)</f>
        <v>~~|'</v>
      </c>
      <c r="R674" s="23">
        <f>FLOOR(VLOOKUP($D674,Sheet1!$M$5:$O$192,3,TRUE),1)</f>
        <v>37</v>
      </c>
      <c r="S674" s="42" t="str">
        <f>VLOOKUP($D674,Sheet1!$M$5:$O$192,2,TRUE)</f>
        <v>.)|~</v>
      </c>
      <c r="T674" s="117">
        <f>IF(ABS(D674-VLOOKUP($D674,Sheet1!$M$5:$T$192,8,TRUE))&lt;10^-10,"SoCA",D674-VLOOKUP($D674,Sheet1!$M$5:$T$192,8,TRUE))</f>
        <v>0.14508772534902548</v>
      </c>
      <c r="U674" s="109" t="str">
        <f>IF(VLOOKUP($D674,Sheet1!$M$5:$U$192,9,TRUE)=0,"",IF(ABS(D674-VLOOKUP($D674,Sheet1!$M$5:$U$192,9,TRUE))&lt;10^-10,"Alt.",D674-VLOOKUP($D674,Sheet1!$M$5:$U$192,9,TRUE)))</f>
        <v/>
      </c>
      <c r="V674" s="132">
        <f>$D674-Sheet1!$M$3*$R674</f>
        <v>0.22037479902689228</v>
      </c>
      <c r="Z674" s="6"/>
      <c r="AA674" s="61"/>
    </row>
    <row r="675" spans="1:27" ht="13.5">
      <c r="A675" t="s">
        <v>1511</v>
      </c>
      <c r="B675">
        <v>53510144</v>
      </c>
      <c r="C675">
        <v>54069201</v>
      </c>
      <c r="D675" s="13">
        <f t="shared" si="14"/>
        <v>17.993551205480056</v>
      </c>
      <c r="E675" s="61" t="s">
        <v>1931</v>
      </c>
      <c r="F675" s="65">
        <v>213.01037880339118</v>
      </c>
      <c r="G675" s="6">
        <v>1418</v>
      </c>
      <c r="H675" s="6">
        <v>1360</v>
      </c>
      <c r="I675" s="65">
        <v>7.8920714982025011</v>
      </c>
      <c r="J675" s="6">
        <f>VLOOKUP($D675,Sheet1!$A$5:$C$192,3,TRUE)</f>
        <v>3</v>
      </c>
      <c r="K675" s="42" t="str">
        <f>VLOOKUP($D675,Sheet1!$A$5:$C$192,2,TRUE)</f>
        <v>~|(</v>
      </c>
      <c r="L675" s="6">
        <f>FLOOR(VLOOKUP($D675,Sheet1!$D$5:$F$192,3,TRUE),1)</f>
        <v>7</v>
      </c>
      <c r="M675" s="42" t="str">
        <f>VLOOKUP($D675,Sheet1!$D$5:$F$192,2,TRUE)</f>
        <v>~~|</v>
      </c>
      <c r="N675" s="23">
        <f>FLOOR(VLOOKUP($D675,Sheet1!$G$5:$I$192,3,TRUE),1)</f>
        <v>9</v>
      </c>
      <c r="O675" s="42" t="str">
        <f>VLOOKUP($D675,Sheet1!$G$5:$I$192,2,TRUE)</f>
        <v>~~|</v>
      </c>
      <c r="P675" s="23">
        <v>1</v>
      </c>
      <c r="Q675" s="43" t="str">
        <f>VLOOKUP($D675,Sheet1!$J$5:$L$192,2,TRUE)</f>
        <v>~~|'</v>
      </c>
      <c r="R675" s="23">
        <f>FLOOR(VLOOKUP($D675,Sheet1!$M$5:$O$192,3,TRUE),1)</f>
        <v>37</v>
      </c>
      <c r="S675" s="42" t="str">
        <f>VLOOKUP($D675,Sheet1!$M$5:$O$192,2,TRUE)</f>
        <v>~~|'</v>
      </c>
      <c r="T675" s="117">
        <f>IF(ABS(D675-VLOOKUP($D675,Sheet1!$M$5:$T$192,8,TRUE))&lt;10^-10,"SoCA",D675-VLOOKUP($D675,Sheet1!$M$5:$T$192,8,TRUE))</f>
        <v>-5.2961177562806938E-3</v>
      </c>
      <c r="U675" s="109">
        <f>IF(VLOOKUP($D675,Sheet1!$M$5:$U$192,9,TRUE)=0,"",IF(ABS(D675-VLOOKUP($D675,Sheet1!$M$5:$U$192,9,TRUE))&lt;10^-10,"Alt.",D675-VLOOKUP($D675,Sheet1!$M$5:$U$192,9,TRUE)))</f>
        <v>2.1664177446155009E-2</v>
      </c>
      <c r="V675" s="132">
        <f>$D675-Sheet1!$M$3*$R675</f>
        <v>-5.943258909222493E-2</v>
      </c>
      <c r="Z675" s="6"/>
      <c r="AA675" s="61"/>
    </row>
    <row r="676" spans="1:27" ht="13.5">
      <c r="A676" t="s">
        <v>1425</v>
      </c>
      <c r="B676">
        <v>23887872</v>
      </c>
      <c r="C676">
        <v>24137569</v>
      </c>
      <c r="D676" s="13">
        <f t="shared" si="14"/>
        <v>18.002451810119076</v>
      </c>
      <c r="E676" s="61">
        <v>17</v>
      </c>
      <c r="F676" s="65">
        <v>226.99128581911597</v>
      </c>
      <c r="G676" s="6">
        <v>1343</v>
      </c>
      <c r="H676" s="6">
        <v>1274</v>
      </c>
      <c r="I676" s="65">
        <v>-7.1084765444517917</v>
      </c>
      <c r="J676" s="6">
        <f>VLOOKUP($D676,Sheet1!$A$5:$C$192,3,TRUE)</f>
        <v>3</v>
      </c>
      <c r="K676" s="42" t="str">
        <f>VLOOKUP($D676,Sheet1!$A$5:$C$192,2,TRUE)</f>
        <v>~|(</v>
      </c>
      <c r="L676" s="6">
        <f>FLOOR(VLOOKUP($D676,Sheet1!$D$5:$F$192,3,TRUE),1)</f>
        <v>7</v>
      </c>
      <c r="M676" s="42" t="str">
        <f>VLOOKUP($D676,Sheet1!$D$5:$F$192,2,TRUE)</f>
        <v>~~|</v>
      </c>
      <c r="N676" s="23">
        <f>FLOOR(VLOOKUP($D676,Sheet1!$G$5:$I$192,3,TRUE),1)</f>
        <v>9</v>
      </c>
      <c r="O676" s="42" t="str">
        <f>VLOOKUP($D676,Sheet1!$G$5:$I$192,2,TRUE)</f>
        <v>~~|</v>
      </c>
      <c r="P676" s="23">
        <v>1</v>
      </c>
      <c r="Q676" s="43" t="str">
        <f>VLOOKUP($D676,Sheet1!$J$5:$L$192,2,TRUE)</f>
        <v>~~|'</v>
      </c>
      <c r="R676" s="23">
        <f>FLOOR(VLOOKUP($D676,Sheet1!$M$5:$O$192,3,TRUE),1)</f>
        <v>37</v>
      </c>
      <c r="S676" s="42" t="str">
        <f>VLOOKUP($D676,Sheet1!$M$5:$O$192,2,TRUE)</f>
        <v>~~|'</v>
      </c>
      <c r="T676" s="117">
        <f>IF(ABS(D676-VLOOKUP($D676,Sheet1!$M$5:$T$192,8,TRUE))&lt;10^-10,"SoCA",D676-VLOOKUP($D676,Sheet1!$M$5:$T$192,8,TRUE))</f>
        <v>3.6044868827396215E-3</v>
      </c>
      <c r="U676" s="109">
        <f>IF(VLOOKUP($D676,Sheet1!$M$5:$U$192,9,TRUE)=0,"",IF(ABS(D676-VLOOKUP($D676,Sheet1!$M$5:$U$192,9,TRUE))&lt;10^-10,"Alt.",D676-VLOOKUP($D676,Sheet1!$M$5:$U$192,9,TRUE)))</f>
        <v>3.0564782085175324E-2</v>
      </c>
      <c r="V676" s="132">
        <f>$D676-Sheet1!$M$3*$R676</f>
        <v>-5.0531984453204615E-2</v>
      </c>
      <c r="Z676" s="6"/>
      <c r="AA676" s="61"/>
    </row>
    <row r="677" spans="1:27" ht="13.5">
      <c r="A677" t="s">
        <v>1033</v>
      </c>
      <c r="B677">
        <v>1207959552</v>
      </c>
      <c r="C677">
        <v>1220703125</v>
      </c>
      <c r="D677" s="13">
        <f t="shared" si="14"/>
        <v>18.168278512077748</v>
      </c>
      <c r="E677" s="61">
        <v>5</v>
      </c>
      <c r="F677" s="65">
        <v>234.14733400549832</v>
      </c>
      <c r="G677" s="6">
        <v>953</v>
      </c>
      <c r="H677" s="6">
        <v>881</v>
      </c>
      <c r="I677" s="65">
        <v>-3.1186870986309545</v>
      </c>
      <c r="J677" s="6">
        <f>VLOOKUP($D677,Sheet1!$A$5:$C$192,3,TRUE)</f>
        <v>3</v>
      </c>
      <c r="K677" s="42" t="str">
        <f>VLOOKUP($D677,Sheet1!$A$5:$C$192,2,TRUE)</f>
        <v>~|(</v>
      </c>
      <c r="L677" s="6">
        <f>FLOOR(VLOOKUP($D677,Sheet1!$D$5:$F$192,3,TRUE),1)</f>
        <v>7</v>
      </c>
      <c r="M677" s="42" t="str">
        <f>VLOOKUP($D677,Sheet1!$D$5:$F$192,2,TRUE)</f>
        <v>~~|</v>
      </c>
      <c r="N677" s="23">
        <f>FLOOR(VLOOKUP($D677,Sheet1!$G$5:$I$192,3,TRUE),1)</f>
        <v>9</v>
      </c>
      <c r="O677" s="42" t="str">
        <f>VLOOKUP($D677,Sheet1!$G$5:$I$192,2,TRUE)</f>
        <v>~~|</v>
      </c>
      <c r="P677" s="23">
        <v>1</v>
      </c>
      <c r="Q677" s="43" t="str">
        <f>VLOOKUP($D677,Sheet1!$J$5:$L$192,2,TRUE)</f>
        <v>~~|'</v>
      </c>
      <c r="R677" s="23">
        <f>FLOOR(VLOOKUP($D677,Sheet1!$M$5:$O$192,3,TRUE),1)</f>
        <v>37</v>
      </c>
      <c r="S677" s="42" t="str">
        <f>VLOOKUP($D677,Sheet1!$M$5:$O$192,2,TRUE)</f>
        <v>.)|~</v>
      </c>
      <c r="T677" s="117">
        <f>IF(ABS(D677-VLOOKUP($D677,Sheet1!$M$5:$T$192,8,TRUE))&lt;10^-10,"SoCA",D677-VLOOKUP($D677,Sheet1!$M$5:$T$192,8,TRUE))</f>
        <v>4.0007643827600248E-2</v>
      </c>
      <c r="U677" s="109" t="str">
        <f>IF(VLOOKUP($D677,Sheet1!$M$5:$U$192,9,TRUE)=0,"",IF(ABS(D677-VLOOKUP($D677,Sheet1!$M$5:$U$192,9,TRUE))&lt;10^-10,"Alt.",D677-VLOOKUP($D677,Sheet1!$M$5:$U$192,9,TRUE)))</f>
        <v/>
      </c>
      <c r="V677" s="132">
        <f>$D677-Sheet1!$M$3*$R677</f>
        <v>0.11529471750546705</v>
      </c>
      <c r="Z677" s="6"/>
      <c r="AA677" s="61"/>
    </row>
    <row r="678" spans="1:27" ht="13.5">
      <c r="A678" t="s">
        <v>1618</v>
      </c>
      <c r="B678">
        <v>5668864</v>
      </c>
      <c r="C678">
        <v>5727753</v>
      </c>
      <c r="D678" s="13">
        <f t="shared" si="14"/>
        <v>17.891546114357741</v>
      </c>
      <c r="E678" s="61" t="s">
        <v>1931</v>
      </c>
      <c r="F678" s="65">
        <v>293.24405974521864</v>
      </c>
      <c r="G678" s="6">
        <v>1523</v>
      </c>
      <c r="H678" s="6">
        <v>1467</v>
      </c>
      <c r="I678" s="65">
        <v>8.898352323287682</v>
      </c>
      <c r="J678" s="6">
        <f>VLOOKUP($D678,Sheet1!$A$5:$C$192,3,TRUE)</f>
        <v>3</v>
      </c>
      <c r="K678" s="42" t="str">
        <f>VLOOKUP($D678,Sheet1!$A$5:$C$192,2,TRUE)</f>
        <v>~|(</v>
      </c>
      <c r="L678" s="6">
        <f>FLOOR(VLOOKUP($D678,Sheet1!$D$5:$F$192,3,TRUE),1)</f>
        <v>7</v>
      </c>
      <c r="M678" s="42" t="str">
        <f>VLOOKUP($D678,Sheet1!$D$5:$F$192,2,TRUE)</f>
        <v>~~|</v>
      </c>
      <c r="N678" s="23">
        <f>FLOOR(VLOOKUP($D678,Sheet1!$G$5:$I$192,3,TRUE),1)</f>
        <v>9</v>
      </c>
      <c r="O678" s="42" t="str">
        <f>VLOOKUP($D678,Sheet1!$G$5:$I$192,2,TRUE)</f>
        <v>~~|</v>
      </c>
      <c r="P678" s="23">
        <v>1</v>
      </c>
      <c r="Q678" s="43" t="str">
        <f>VLOOKUP($D678,Sheet1!$J$5:$L$192,2,TRUE)</f>
        <v>~~|'</v>
      </c>
      <c r="R678" s="23">
        <f>FLOOR(VLOOKUP($D678,Sheet1!$M$5:$O$192,3,TRUE),1)</f>
        <v>37</v>
      </c>
      <c r="S678" s="42" t="str">
        <f>VLOOKUP($D678,Sheet1!$M$5:$O$192,2,TRUE)</f>
        <v>~~|'</v>
      </c>
      <c r="T678" s="117">
        <f>IF(ABS(D678-VLOOKUP($D678,Sheet1!$M$5:$T$192,8,TRUE))&lt;10^-10,"SoCA",D678-VLOOKUP($D678,Sheet1!$M$5:$T$192,8,TRUE))</f>
        <v>-0.10730120887859584</v>
      </c>
      <c r="U678" s="109">
        <f>IF(VLOOKUP($D678,Sheet1!$M$5:$U$192,9,TRUE)=0,"",IF(ABS(D678-VLOOKUP($D678,Sheet1!$M$5:$U$192,9,TRUE))&lt;10^-10,"Alt.",D678-VLOOKUP($D678,Sheet1!$M$5:$U$192,9,TRUE)))</f>
        <v>-8.0340913676160142E-2</v>
      </c>
      <c r="V678" s="132">
        <f>$D678-Sheet1!$M$3*$R678</f>
        <v>-0.16143768021454008</v>
      </c>
      <c r="Z678" s="6"/>
      <c r="AA678" s="61"/>
    </row>
    <row r="679" spans="1:27" ht="13.5">
      <c r="A679" t="s">
        <v>1652</v>
      </c>
      <c r="B679">
        <v>112721920</v>
      </c>
      <c r="C679">
        <v>113905521</v>
      </c>
      <c r="D679" s="13">
        <f t="shared" si="14"/>
        <v>18.083502805446084</v>
      </c>
      <c r="E679" s="61" t="s">
        <v>1931</v>
      </c>
      <c r="F679" s="65">
        <v>883.30314996779259</v>
      </c>
      <c r="G679" s="6">
        <v>1405</v>
      </c>
      <c r="H679" s="6">
        <v>1501</v>
      </c>
      <c r="I679" s="65">
        <v>9.8865328504810712</v>
      </c>
      <c r="J679" s="6">
        <f>VLOOKUP($D679,Sheet1!$A$5:$C$192,3,TRUE)</f>
        <v>3</v>
      </c>
      <c r="K679" s="42" t="str">
        <f>VLOOKUP($D679,Sheet1!$A$5:$C$192,2,TRUE)</f>
        <v>~|(</v>
      </c>
      <c r="L679" s="6">
        <f>FLOOR(VLOOKUP($D679,Sheet1!$D$5:$F$192,3,TRUE),1)</f>
        <v>7</v>
      </c>
      <c r="M679" s="42" t="str">
        <f>VLOOKUP($D679,Sheet1!$D$5:$F$192,2,TRUE)</f>
        <v>~~|</v>
      </c>
      <c r="N679" s="23">
        <f>FLOOR(VLOOKUP($D679,Sheet1!$G$5:$I$192,3,TRUE),1)</f>
        <v>9</v>
      </c>
      <c r="O679" s="42" t="str">
        <f>VLOOKUP($D679,Sheet1!$G$5:$I$192,2,TRUE)</f>
        <v>~~|</v>
      </c>
      <c r="P679" s="23">
        <v>1</v>
      </c>
      <c r="Q679" s="43" t="str">
        <f>VLOOKUP($D679,Sheet1!$J$5:$L$192,2,TRUE)</f>
        <v>~~|'</v>
      </c>
      <c r="R679" s="23">
        <f>FLOOR(VLOOKUP($D679,Sheet1!$M$5:$O$192,3,TRUE),1)</f>
        <v>37</v>
      </c>
      <c r="S679" s="42" t="str">
        <f>VLOOKUP($D679,Sheet1!$M$5:$O$192,2,TRUE)</f>
        <v>.)|~</v>
      </c>
      <c r="T679" s="117">
        <f>IF(ABS(D679-VLOOKUP($D679,Sheet1!$M$5:$T$192,8,TRUE))&lt;10^-10,"SoCA",D679-VLOOKUP($D679,Sheet1!$M$5:$T$192,8,TRUE))</f>
        <v>-4.4768062804063646E-2</v>
      </c>
      <c r="U679" s="109" t="str">
        <f>IF(VLOOKUP($D679,Sheet1!$M$5:$U$192,9,TRUE)=0,"",IF(ABS(D679-VLOOKUP($D679,Sheet1!$M$5:$U$192,9,TRUE))&lt;10^-10,"Alt.",D679-VLOOKUP($D679,Sheet1!$M$5:$U$192,9,TRUE)))</f>
        <v/>
      </c>
      <c r="V679" s="132">
        <f>$D679-Sheet1!$M$3*$R679</f>
        <v>3.0519010873803154E-2</v>
      </c>
      <c r="Z679" s="6"/>
      <c r="AA679" s="61"/>
    </row>
    <row r="680" spans="1:27" ht="13.5">
      <c r="A680" t="s">
        <v>1508</v>
      </c>
      <c r="B680">
        <v>12173312</v>
      </c>
      <c r="C680">
        <v>12301875</v>
      </c>
      <c r="D680" s="13">
        <f t="shared" si="14"/>
        <v>18.187782601510641</v>
      </c>
      <c r="E680" s="61" t="s">
        <v>1931</v>
      </c>
      <c r="F680" s="65">
        <v>1234.5109119305801</v>
      </c>
      <c r="G680" s="6">
        <v>1417</v>
      </c>
      <c r="H680" s="6">
        <v>1357</v>
      </c>
      <c r="I680" s="65">
        <v>7.8801119635253958</v>
      </c>
      <c r="J680" s="6">
        <f>VLOOKUP($D680,Sheet1!$A$5:$C$192,3,TRUE)</f>
        <v>3</v>
      </c>
      <c r="K680" s="42" t="str">
        <f>VLOOKUP($D680,Sheet1!$A$5:$C$192,2,TRUE)</f>
        <v>~|(</v>
      </c>
      <c r="L680" s="6">
        <f>FLOOR(VLOOKUP($D680,Sheet1!$D$5:$F$192,3,TRUE),1)</f>
        <v>7</v>
      </c>
      <c r="M680" s="42" t="str">
        <f>VLOOKUP($D680,Sheet1!$D$5:$F$192,2,TRUE)</f>
        <v>~~|</v>
      </c>
      <c r="N680" s="23">
        <f>FLOOR(VLOOKUP($D680,Sheet1!$G$5:$I$192,3,TRUE),1)</f>
        <v>9</v>
      </c>
      <c r="O680" s="42" t="str">
        <f>VLOOKUP($D680,Sheet1!$G$5:$I$192,2,TRUE)</f>
        <v>~~|</v>
      </c>
      <c r="P680" s="23">
        <v>1</v>
      </c>
      <c r="Q680" s="43" t="str">
        <f>VLOOKUP($D680,Sheet1!$J$5:$L$192,2,TRUE)</f>
        <v>~~|'</v>
      </c>
      <c r="R680" s="23">
        <f>FLOOR(VLOOKUP($D680,Sheet1!$M$5:$O$192,3,TRUE),1)</f>
        <v>37</v>
      </c>
      <c r="S680" s="42" t="str">
        <f>VLOOKUP($D680,Sheet1!$M$5:$O$192,2,TRUE)</f>
        <v>.)|~</v>
      </c>
      <c r="T680" s="117">
        <f>IF(ABS(D680-VLOOKUP($D680,Sheet1!$M$5:$T$192,8,TRUE))&lt;10^-10,"SoCA",D680-VLOOKUP($D680,Sheet1!$M$5:$T$192,8,TRUE))</f>
        <v>5.9511733260492861E-2</v>
      </c>
      <c r="U680" s="109" t="str">
        <f>IF(VLOOKUP($D680,Sheet1!$M$5:$U$192,9,TRUE)=0,"",IF(ABS(D680-VLOOKUP($D680,Sheet1!$M$5:$U$192,9,TRUE))&lt;10^-10,"Alt.",D680-VLOOKUP($D680,Sheet1!$M$5:$U$192,9,TRUE)))</f>
        <v/>
      </c>
      <c r="V680" s="132">
        <f>$D680-Sheet1!$M$3*$R680</f>
        <v>0.13479880693835966</v>
      </c>
      <c r="Z680" s="6"/>
      <c r="AA680" s="61"/>
    </row>
    <row r="681" spans="1:27" ht="13.5">
      <c r="A681" t="s">
        <v>1723</v>
      </c>
      <c r="B681">
        <v>182896197632</v>
      </c>
      <c r="C681">
        <v>184837128417</v>
      </c>
      <c r="D681" s="13">
        <f t="shared" si="14"/>
        <v>18.275399195754019</v>
      </c>
      <c r="E681" s="61" t="s">
        <v>1931</v>
      </c>
      <c r="F681" s="65">
        <v>6625089.5778197702</v>
      </c>
      <c r="G681" s="6">
        <v>1623</v>
      </c>
      <c r="H681" s="6">
        <v>1572</v>
      </c>
      <c r="I681" s="65">
        <v>9.8747170906131991</v>
      </c>
      <c r="J681" s="6">
        <f>VLOOKUP($D681,Sheet1!$A$5:$C$192,3,TRUE)</f>
        <v>3</v>
      </c>
      <c r="K681" s="42" t="str">
        <f>VLOOKUP($D681,Sheet1!$A$5:$C$192,2,TRUE)</f>
        <v>~|(</v>
      </c>
      <c r="L681" s="6">
        <f>FLOOR(VLOOKUP($D681,Sheet1!$D$5:$F$192,3,TRUE),1)</f>
        <v>7</v>
      </c>
      <c r="M681" s="42" t="str">
        <f>VLOOKUP($D681,Sheet1!$D$5:$F$192,2,TRUE)</f>
        <v>~~|</v>
      </c>
      <c r="N681" s="23">
        <f>FLOOR(VLOOKUP($D681,Sheet1!$G$5:$I$192,3,TRUE),1)</f>
        <v>9</v>
      </c>
      <c r="O681" s="42" t="str">
        <f>VLOOKUP($D681,Sheet1!$G$5:$I$192,2,TRUE)</f>
        <v>~~|</v>
      </c>
      <c r="P681" s="23">
        <v>1</v>
      </c>
      <c r="Q681" s="43" t="str">
        <f>VLOOKUP($D681,Sheet1!$J$5:$L$192,2,TRUE)</f>
        <v>~~|'</v>
      </c>
      <c r="R681" s="23">
        <f>FLOOR(VLOOKUP($D681,Sheet1!$M$5:$O$192,3,TRUE),1)</f>
        <v>37</v>
      </c>
      <c r="S681" s="42" t="str">
        <f>VLOOKUP($D681,Sheet1!$M$5:$O$192,2,TRUE)</f>
        <v>.)|~</v>
      </c>
      <c r="T681" s="117">
        <f>IF(ABS(D681-VLOOKUP($D681,Sheet1!$M$5:$T$192,8,TRUE))&lt;10^-10,"SoCA",D681-VLOOKUP($D681,Sheet1!$M$5:$T$192,8,TRUE))</f>
        <v>0.1471283275038715</v>
      </c>
      <c r="U681" s="109" t="str">
        <f>IF(VLOOKUP($D681,Sheet1!$M$5:$U$192,9,TRUE)=0,"",IF(ABS(D681-VLOOKUP($D681,Sheet1!$M$5:$U$192,9,TRUE))&lt;10^-10,"Alt.",D681-VLOOKUP($D681,Sheet1!$M$5:$U$192,9,TRUE)))</f>
        <v/>
      </c>
      <c r="V681" s="132">
        <f>$D681-Sheet1!$M$3*$R681</f>
        <v>0.2224154011817383</v>
      </c>
      <c r="Z681" s="6"/>
      <c r="AA681" s="61"/>
    </row>
    <row r="682" spans="1:27" ht="13.5">
      <c r="A682" s="87" t="s">
        <v>80</v>
      </c>
      <c r="B682" s="87">
        <f>3^9*7</f>
        <v>137781</v>
      </c>
      <c r="C682" s="87">
        <f>2^13*17</f>
        <v>139264</v>
      </c>
      <c r="D682" s="13">
        <f t="shared" si="14"/>
        <v>18.534495242795682</v>
      </c>
      <c r="E682" s="61">
        <v>17</v>
      </c>
      <c r="F682" s="65">
        <v>38.770724069360988</v>
      </c>
      <c r="G682" s="6">
        <v>188</v>
      </c>
      <c r="H682" s="6">
        <v>389</v>
      </c>
      <c r="I682" s="65">
        <v>-10.141236396941448</v>
      </c>
      <c r="J682" s="6">
        <f>VLOOKUP($D682,Sheet1!$A$5:$C$192,3,TRUE)</f>
        <v>3</v>
      </c>
      <c r="K682" s="42" t="str">
        <f>VLOOKUP($D682,Sheet1!$A$5:$C$192,2,TRUE)</f>
        <v>~|(</v>
      </c>
      <c r="L682" s="6">
        <f>FLOOR(VLOOKUP($D682,Sheet1!$D$5:$F$192,3,TRUE),1)</f>
        <v>7</v>
      </c>
      <c r="M682" s="42" t="str">
        <f>VLOOKUP($D682,Sheet1!$D$5:$F$192,2,TRUE)</f>
        <v>~~|</v>
      </c>
      <c r="N682" s="23">
        <f>FLOOR(VLOOKUP($D682,Sheet1!$G$5:$I$192,3,TRUE),1)</f>
        <v>9</v>
      </c>
      <c r="O682" s="42" t="str">
        <f>VLOOKUP($D682,Sheet1!$G$5:$I$192,2,TRUE)</f>
        <v>~~|</v>
      </c>
      <c r="P682" s="23">
        <v>1</v>
      </c>
      <c r="Q682" s="45" t="str">
        <f>VLOOKUP($D682,Sheet1!$J$5:$L$192,2,TRUE)</f>
        <v>~~|''</v>
      </c>
      <c r="R682" s="38">
        <f>FLOOR(VLOOKUP($D682,Sheet1!$M$5:$O$192,3,TRUE),1)</f>
        <v>38</v>
      </c>
      <c r="S682" s="45" t="str">
        <f>VLOOKUP($D682,Sheet1!$M$5:$O$192,2,TRUE)</f>
        <v>~~|''</v>
      </c>
      <c r="T682" s="108">
        <f>IF(ABS(D682-VLOOKUP($D682,Sheet1!$M$5:$T$192,8,TRUE))&lt;10^-10,"SoCA",D682-VLOOKUP($D682,Sheet1!$M$5:$T$192,8,TRUE))</f>
        <v>0.12583988141257052</v>
      </c>
      <c r="U682" s="108">
        <f>IF(VLOOKUP($D682,Sheet1!$M$5:$U$192,9,TRUE)=0,"",IF(ABS(D682-VLOOKUP($D682,Sheet1!$M$5:$U$192,9,TRUE))&lt;10^-10,"Alt.",D682-VLOOKUP($D682,Sheet1!$M$5:$U$192,9,TRUE)))</f>
        <v>0.13989204880702744</v>
      </c>
      <c r="V682" s="133">
        <f>$D682-Sheet1!$M$3*$R682</f>
        <v>-6.4070327109853054E-3</v>
      </c>
      <c r="Z682" s="6"/>
      <c r="AA682" s="61"/>
    </row>
    <row r="683" spans="1:27" ht="13.5">
      <c r="A683" s="21" t="s">
        <v>79</v>
      </c>
      <c r="B683" s="21">
        <f>2^10</f>
        <v>1024</v>
      </c>
      <c r="C683" s="21">
        <f>3^2*5*23</f>
        <v>1035</v>
      </c>
      <c r="D683" s="13">
        <f t="shared" si="14"/>
        <v>18.498062864025101</v>
      </c>
      <c r="E683" s="61">
        <v>23</v>
      </c>
      <c r="F683" s="65">
        <v>39.254641684847869</v>
      </c>
      <c r="G683" s="6">
        <v>685</v>
      </c>
      <c r="H683" s="6">
        <v>654</v>
      </c>
      <c r="I683" s="65">
        <v>0.86100687734983961</v>
      </c>
      <c r="J683" s="6">
        <f>VLOOKUP($D683,Sheet1!$A$5:$C$192,3,TRUE)</f>
        <v>3</v>
      </c>
      <c r="K683" s="42" t="str">
        <f>VLOOKUP($D683,Sheet1!$A$5:$C$192,2,TRUE)</f>
        <v>~|(</v>
      </c>
      <c r="L683" s="6">
        <f>FLOOR(VLOOKUP($D683,Sheet1!$D$5:$F$192,3,TRUE),1)</f>
        <v>7</v>
      </c>
      <c r="M683" s="42" t="str">
        <f>VLOOKUP($D683,Sheet1!$D$5:$F$192,2,TRUE)</f>
        <v>~~|</v>
      </c>
      <c r="N683" s="23">
        <f>FLOOR(VLOOKUP($D683,Sheet1!$G$5:$I$192,3,TRUE),1)</f>
        <v>9</v>
      </c>
      <c r="O683" s="42" t="str">
        <f>VLOOKUP($D683,Sheet1!$G$5:$I$192,2,TRUE)</f>
        <v>~~|</v>
      </c>
      <c r="P683" s="23">
        <v>1</v>
      </c>
      <c r="Q683" s="43" t="str">
        <f>VLOOKUP($D683,Sheet1!$J$5:$L$192,2,TRUE)</f>
        <v>~~|''</v>
      </c>
      <c r="R683" s="23">
        <f>FLOOR(VLOOKUP($D683,Sheet1!$M$5:$O$192,3,TRUE),1)</f>
        <v>38</v>
      </c>
      <c r="S683" s="43" t="str">
        <f>VLOOKUP($D683,Sheet1!$M$5:$O$192,2,TRUE)</f>
        <v>~~|''</v>
      </c>
      <c r="T683" s="117">
        <f>IF(ABS(D683-VLOOKUP($D683,Sheet1!$M$5:$T$192,8,TRUE))&lt;10^-10,"SoCA",D683-VLOOKUP($D683,Sheet1!$M$5:$T$192,8,TRUE))</f>
        <v>8.9407502641989822E-2</v>
      </c>
      <c r="U683" s="117">
        <f>IF(VLOOKUP($D683,Sheet1!$M$5:$U$192,9,TRUE)=0,"",IF(ABS(D683-VLOOKUP($D683,Sheet1!$M$5:$U$192,9,TRUE))&lt;10^-10,"Alt.",D683-VLOOKUP($D683,Sheet1!$M$5:$U$192,9,TRUE)))</f>
        <v>0.10345967003644674</v>
      </c>
      <c r="V683" s="132">
        <f>$D683-Sheet1!$M$3*$R683</f>
        <v>-4.2839411481566003E-2</v>
      </c>
      <c r="Z683" s="6"/>
      <c r="AA683" s="61"/>
    </row>
    <row r="684" spans="1:27" ht="13.5">
      <c r="A684" s="23" t="s">
        <v>618</v>
      </c>
      <c r="B684" s="23">
        <f>11*17</f>
        <v>187</v>
      </c>
      <c r="C684" s="23">
        <f>3^3*7</f>
        <v>189</v>
      </c>
      <c r="D684" s="13">
        <f t="shared" si="14"/>
        <v>18.417557200123259</v>
      </c>
      <c r="E684" s="61">
        <v>17</v>
      </c>
      <c r="F684" s="65">
        <v>42.116146571381115</v>
      </c>
      <c r="G684" s="6">
        <v>512</v>
      </c>
      <c r="H684" s="6">
        <v>463</v>
      </c>
      <c r="I684" s="65">
        <v>1.8659639043743781</v>
      </c>
      <c r="J684" s="6">
        <f>VLOOKUP($D684,Sheet1!$A$5:$C$192,3,TRUE)</f>
        <v>3</v>
      </c>
      <c r="K684" s="42" t="str">
        <f>VLOOKUP($D684,Sheet1!$A$5:$C$192,2,TRUE)</f>
        <v>~|(</v>
      </c>
      <c r="L684" s="6">
        <f>FLOOR(VLOOKUP($D684,Sheet1!$D$5:$F$192,3,TRUE),1)</f>
        <v>7</v>
      </c>
      <c r="M684" s="42" t="str">
        <f>VLOOKUP($D684,Sheet1!$D$5:$F$192,2,TRUE)</f>
        <v>~~|</v>
      </c>
      <c r="N684" s="23">
        <f>FLOOR(VLOOKUP($D684,Sheet1!$G$5:$I$192,3,TRUE),1)</f>
        <v>9</v>
      </c>
      <c r="O684" s="42" t="str">
        <f>VLOOKUP($D684,Sheet1!$G$5:$I$192,2,TRUE)</f>
        <v>~~|</v>
      </c>
      <c r="P684" s="23">
        <v>1</v>
      </c>
      <c r="Q684" s="43" t="str">
        <f>VLOOKUP($D684,Sheet1!$J$5:$L$192,2,TRUE)</f>
        <v>~~|''</v>
      </c>
      <c r="R684" s="23">
        <f>FLOOR(VLOOKUP($D684,Sheet1!$M$5:$O$192,3,TRUE),1)</f>
        <v>38</v>
      </c>
      <c r="S684" s="43" t="str">
        <f>VLOOKUP($D684,Sheet1!$M$5:$O$192,2,TRUE)</f>
        <v>~~|''</v>
      </c>
      <c r="T684" s="117">
        <f>IF(ABS(D684-VLOOKUP($D684,Sheet1!$M$5:$T$192,8,TRUE))&lt;10^-10,"SoCA",D684-VLOOKUP($D684,Sheet1!$M$5:$T$192,8,TRUE))</f>
        <v>8.9018387401473831E-3</v>
      </c>
      <c r="U684" s="117">
        <f>IF(VLOOKUP($D684,Sheet1!$M$5:$U$192,9,TRUE)=0,"",IF(ABS(D684-VLOOKUP($D684,Sheet1!$M$5:$U$192,9,TRUE))&lt;10^-10,"Alt.",D684-VLOOKUP($D684,Sheet1!$M$5:$U$192,9,TRUE)))</f>
        <v>2.2954006134604299E-2</v>
      </c>
      <c r="V684" s="134">
        <f>$D684-Sheet1!$M$3*$R684</f>
        <v>-0.12334507538340844</v>
      </c>
      <c r="Z684" s="6"/>
      <c r="AA684" s="61"/>
    </row>
    <row r="685" spans="1:27" ht="13.5">
      <c r="A685" s="6" t="s">
        <v>465</v>
      </c>
      <c r="B685" s="6">
        <f>3^3*17</f>
        <v>459</v>
      </c>
      <c r="C685" s="6">
        <f>2^4*29</f>
        <v>464</v>
      </c>
      <c r="D685" s="13">
        <f t="shared" si="14"/>
        <v>18.756782056517064</v>
      </c>
      <c r="E685" s="61">
        <v>29</v>
      </c>
      <c r="F685" s="65">
        <v>46.276021366874723</v>
      </c>
      <c r="G685" s="6">
        <v>333</v>
      </c>
      <c r="H685" s="6">
        <v>303</v>
      </c>
      <c r="I685" s="65">
        <v>-4.1549234058972262</v>
      </c>
      <c r="J685" s="6">
        <f>VLOOKUP($D685,Sheet1!$A$5:$C$192,3,TRUE)</f>
        <v>3</v>
      </c>
      <c r="K685" s="42" t="str">
        <f>VLOOKUP($D685,Sheet1!$A$5:$C$192,2,TRUE)</f>
        <v>~|(</v>
      </c>
      <c r="L685" s="6">
        <f>FLOOR(VLOOKUP($D685,Sheet1!$D$5:$F$192,3,TRUE),1)</f>
        <v>7</v>
      </c>
      <c r="M685" s="42" t="str">
        <f>VLOOKUP($D685,Sheet1!$D$5:$F$192,2,TRUE)</f>
        <v>~~|</v>
      </c>
      <c r="N685" s="23">
        <f>FLOOR(VLOOKUP($D685,Sheet1!$G$5:$I$192,3,TRUE),1)</f>
        <v>9</v>
      </c>
      <c r="O685" s="42" t="str">
        <f>VLOOKUP($D685,Sheet1!$G$5:$I$192,2,TRUE)</f>
        <v>~~|</v>
      </c>
      <c r="P685" s="23">
        <v>1</v>
      </c>
      <c r="Q685" s="43" t="str">
        <f>VLOOKUP($D685,Sheet1!$J$5:$L$192,2,TRUE)</f>
        <v>~~|''</v>
      </c>
      <c r="R685" s="23">
        <f>FLOOR(VLOOKUP($D685,Sheet1!$M$5:$O$192,3,TRUE),1)</f>
        <v>38</v>
      </c>
      <c r="S685" s="42" t="str">
        <f>VLOOKUP($D685,Sheet1!$M$5:$O$192,2,TRUE)</f>
        <v>~~|''</v>
      </c>
      <c r="T685" s="117">
        <f>IF(ABS(D685-VLOOKUP($D685,Sheet1!$M$5:$T$192,8,TRUE))&lt;10^-10,"SoCA",D685-VLOOKUP($D685,Sheet1!$M$5:$T$192,8,TRUE))</f>
        <v>0.34812669513395278</v>
      </c>
      <c r="U685" s="109">
        <f>IF(VLOOKUP($D685,Sheet1!$M$5:$U$192,9,TRUE)=0,"",IF(ABS(D685-VLOOKUP($D685,Sheet1!$M$5:$U$192,9,TRUE))&lt;10^-10,"Alt.",D685-VLOOKUP($D685,Sheet1!$M$5:$U$192,9,TRUE)))</f>
        <v>0.3621788625284097</v>
      </c>
      <c r="V685" s="132">
        <f>$D685-Sheet1!$M$3*$R685</f>
        <v>0.21587978101039695</v>
      </c>
      <c r="Z685" s="6"/>
      <c r="AA685" s="61"/>
    </row>
    <row r="686" spans="1:27" ht="13.5">
      <c r="A686" t="s">
        <v>1505</v>
      </c>
      <c r="B686">
        <v>3407872</v>
      </c>
      <c r="C686">
        <v>3444525</v>
      </c>
      <c r="D686" s="13">
        <f t="shared" si="14"/>
        <v>18.520680217970877</v>
      </c>
      <c r="E686" s="61">
        <v>13</v>
      </c>
      <c r="F686" s="65">
        <v>49.124703735648495</v>
      </c>
      <c r="G686" s="6">
        <v>1415</v>
      </c>
      <c r="H686" s="6">
        <v>1354</v>
      </c>
      <c r="I686" s="65">
        <v>7.8596142444678918</v>
      </c>
      <c r="J686" s="6">
        <f>VLOOKUP($D686,Sheet1!$A$5:$C$192,3,TRUE)</f>
        <v>3</v>
      </c>
      <c r="K686" s="42" t="str">
        <f>VLOOKUP($D686,Sheet1!$A$5:$C$192,2,TRUE)</f>
        <v>~|(</v>
      </c>
      <c r="L686" s="6">
        <f>FLOOR(VLOOKUP($D686,Sheet1!$D$5:$F$192,3,TRUE),1)</f>
        <v>7</v>
      </c>
      <c r="M686" s="42" t="str">
        <f>VLOOKUP($D686,Sheet1!$D$5:$F$192,2,TRUE)</f>
        <v>~~|</v>
      </c>
      <c r="N686" s="23">
        <f>FLOOR(VLOOKUP($D686,Sheet1!$G$5:$I$192,3,TRUE),1)</f>
        <v>9</v>
      </c>
      <c r="O686" s="42" t="str">
        <f>VLOOKUP($D686,Sheet1!$G$5:$I$192,2,TRUE)</f>
        <v>~~|</v>
      </c>
      <c r="P686" s="23">
        <v>1</v>
      </c>
      <c r="Q686" s="43" t="str">
        <f>VLOOKUP($D686,Sheet1!$J$5:$L$192,2,TRUE)</f>
        <v>~~|''</v>
      </c>
      <c r="R686" s="23">
        <f>FLOOR(VLOOKUP($D686,Sheet1!$M$5:$O$192,3,TRUE),1)</f>
        <v>38</v>
      </c>
      <c r="S686" s="42" t="str">
        <f>VLOOKUP($D686,Sheet1!$M$5:$O$192,2,TRUE)</f>
        <v>~~|''</v>
      </c>
      <c r="T686" s="117">
        <f>IF(ABS(D686-VLOOKUP($D686,Sheet1!$M$5:$T$192,8,TRUE))&lt;10^-10,"SoCA",D686-VLOOKUP($D686,Sheet1!$M$5:$T$192,8,TRUE))</f>
        <v>0.11202485658776595</v>
      </c>
      <c r="U686" s="109">
        <f>IF(VLOOKUP($D686,Sheet1!$M$5:$U$192,9,TRUE)=0,"",IF(ABS(D686-VLOOKUP($D686,Sheet1!$M$5:$U$192,9,TRUE))&lt;10^-10,"Alt.",D686-VLOOKUP($D686,Sheet1!$M$5:$U$192,9,TRUE)))</f>
        <v>0.12607702398222287</v>
      </c>
      <c r="V686" s="132">
        <f>$D686-Sheet1!$M$3*$R686</f>
        <v>-2.0222057535789872E-2</v>
      </c>
      <c r="Z686" s="6"/>
      <c r="AA686" s="61"/>
    </row>
    <row r="687" spans="1:27" ht="13.5">
      <c r="A687" s="144" t="s">
        <v>288</v>
      </c>
      <c r="B687" s="144">
        <f>2^2*23</f>
        <v>92</v>
      </c>
      <c r="C687" s="144">
        <f>3*31</f>
        <v>93</v>
      </c>
      <c r="D687" s="13">
        <f t="shared" si="14"/>
        <v>18.716226061222304</v>
      </c>
      <c r="E687" s="61">
        <v>31</v>
      </c>
      <c r="F687" s="65">
        <v>54.034594725145482</v>
      </c>
      <c r="G687" s="6">
        <v>126</v>
      </c>
      <c r="H687" s="6">
        <v>112</v>
      </c>
      <c r="I687" s="65">
        <v>-0.15242622551339258</v>
      </c>
      <c r="J687" s="6">
        <f>VLOOKUP($D687,Sheet1!$A$5:$C$192,3,TRUE)</f>
        <v>3</v>
      </c>
      <c r="K687" s="42" t="str">
        <f>VLOOKUP($D687,Sheet1!$A$5:$C$192,2,TRUE)</f>
        <v>~|(</v>
      </c>
      <c r="L687" s="6">
        <f>FLOOR(VLOOKUP($D687,Sheet1!$D$5:$F$192,3,TRUE),1)</f>
        <v>7</v>
      </c>
      <c r="M687" s="42" t="str">
        <f>VLOOKUP($D687,Sheet1!$D$5:$F$192,2,TRUE)</f>
        <v>~~|</v>
      </c>
      <c r="N687" s="23">
        <f>FLOOR(VLOOKUP($D687,Sheet1!$G$5:$I$192,3,TRUE),1)</f>
        <v>9</v>
      </c>
      <c r="O687" s="42" t="str">
        <f>VLOOKUP($D687,Sheet1!$G$5:$I$192,2,TRUE)</f>
        <v>~~|</v>
      </c>
      <c r="P687" s="23">
        <v>1</v>
      </c>
      <c r="Q687" s="145" t="str">
        <f>VLOOKUP($D687,Sheet1!$J$5:$L$192,2,TRUE)</f>
        <v>~~|''</v>
      </c>
      <c r="R687" s="146">
        <f>FLOOR(VLOOKUP($D687,Sheet1!$M$5:$O$192,3,TRUE),1)</f>
        <v>38</v>
      </c>
      <c r="S687" s="145" t="str">
        <f>VLOOKUP($D687,Sheet1!$M$5:$O$192,2,TRUE)</f>
        <v>~~|''</v>
      </c>
      <c r="T687" s="147">
        <f>IF(ABS(D687-VLOOKUP($D687,Sheet1!$M$5:$T$192,8,TRUE))&lt;10^-10,"SoCA",D687-VLOOKUP($D687,Sheet1!$M$5:$T$192,8,TRUE))</f>
        <v>0.30757069983919294</v>
      </c>
      <c r="U687" s="147">
        <f>IF(VLOOKUP($D687,Sheet1!$M$5:$U$192,9,TRUE)=0,"",IF(ABS(D687-VLOOKUP($D687,Sheet1!$M$5:$U$192,9,TRUE))&lt;10^-10,"Alt.",D687-VLOOKUP($D687,Sheet1!$M$5:$U$192,9,TRUE)))</f>
        <v>0.32162286723364986</v>
      </c>
      <c r="V687" s="132">
        <f>$D687-Sheet1!$M$3*$R687</f>
        <v>0.17532378571563711</v>
      </c>
      <c r="Z687" s="6"/>
      <c r="AA687" s="61"/>
    </row>
    <row r="688" spans="1:27" ht="13.5">
      <c r="A688" t="s">
        <v>1502</v>
      </c>
      <c r="B688">
        <v>681472</v>
      </c>
      <c r="C688">
        <v>688905</v>
      </c>
      <c r="D688" s="13">
        <f t="shared" si="14"/>
        <v>18.780801028176253</v>
      </c>
      <c r="E688" s="61">
        <v>11</v>
      </c>
      <c r="F688" s="65">
        <v>61.887689748204117</v>
      </c>
      <c r="G688" s="6">
        <v>1413</v>
      </c>
      <c r="H688" s="6">
        <v>1351</v>
      </c>
      <c r="I688" s="65">
        <v>7.8435976585118397</v>
      </c>
      <c r="J688" s="6">
        <f>VLOOKUP($D688,Sheet1!$A$5:$C$192,3,TRUE)</f>
        <v>3</v>
      </c>
      <c r="K688" s="42" t="str">
        <f>VLOOKUP($D688,Sheet1!$A$5:$C$192,2,TRUE)</f>
        <v>~|(</v>
      </c>
      <c r="L688" s="6">
        <f>FLOOR(VLOOKUP($D688,Sheet1!$D$5:$F$192,3,TRUE),1)</f>
        <v>7</v>
      </c>
      <c r="M688" s="42" t="str">
        <f>VLOOKUP($D688,Sheet1!$D$5:$F$192,2,TRUE)</f>
        <v>~~|</v>
      </c>
      <c r="N688" s="23">
        <f>FLOOR(VLOOKUP($D688,Sheet1!$G$5:$I$192,3,TRUE),1)</f>
        <v>9</v>
      </c>
      <c r="O688" s="42" t="str">
        <f>VLOOKUP($D688,Sheet1!$G$5:$I$192,2,TRUE)</f>
        <v>~~|</v>
      </c>
      <c r="P688" s="23">
        <v>1</v>
      </c>
      <c r="Q688" s="43" t="str">
        <f>VLOOKUP($D688,Sheet1!$J$5:$L$192,2,TRUE)</f>
        <v>~~|''</v>
      </c>
      <c r="R688" s="23">
        <f>FLOOR(VLOOKUP($D688,Sheet1!$M$5:$O$192,3,TRUE),1)</f>
        <v>38</v>
      </c>
      <c r="S688" s="42" t="str">
        <f>VLOOKUP($D688,Sheet1!$M$5:$O$192,2,TRUE)</f>
        <v>~~|''</v>
      </c>
      <c r="T688" s="117">
        <f>IF(ABS(D688-VLOOKUP($D688,Sheet1!$M$5:$T$192,8,TRUE))&lt;10^-10,"SoCA",D688-VLOOKUP($D688,Sheet1!$M$5:$T$192,8,TRUE))</f>
        <v>0.37214566679314132</v>
      </c>
      <c r="U688" s="109">
        <f>IF(VLOOKUP($D688,Sheet1!$M$5:$U$192,9,TRUE)=0,"",IF(ABS(D688-VLOOKUP($D688,Sheet1!$M$5:$U$192,9,TRUE))&lt;10^-10,"Alt.",D688-VLOOKUP($D688,Sheet1!$M$5:$U$192,9,TRUE)))</f>
        <v>0.38619783418759823</v>
      </c>
      <c r="V688" s="132">
        <f>$D688-Sheet1!$M$3*$R688</f>
        <v>0.23989875266958549</v>
      </c>
      <c r="Z688" s="6"/>
      <c r="AA688" s="61"/>
    </row>
    <row r="689" spans="1:27" ht="13.5">
      <c r="A689" t="s">
        <v>1309</v>
      </c>
      <c r="B689">
        <v>114688</v>
      </c>
      <c r="C689">
        <v>115911</v>
      </c>
      <c r="D689" s="13">
        <f t="shared" si="14"/>
        <v>18.363645064426066</v>
      </c>
      <c r="E689" s="61" t="s">
        <v>1931</v>
      </c>
      <c r="F689" s="65">
        <v>62.125545532766459</v>
      </c>
      <c r="G689" s="6">
        <v>1217</v>
      </c>
      <c r="H689" s="6">
        <v>1158</v>
      </c>
      <c r="I689" s="65">
        <v>5.8692834709818582</v>
      </c>
      <c r="J689" s="6">
        <f>VLOOKUP($D689,Sheet1!$A$5:$C$192,3,TRUE)</f>
        <v>3</v>
      </c>
      <c r="K689" s="42" t="str">
        <f>VLOOKUP($D689,Sheet1!$A$5:$C$192,2,TRUE)</f>
        <v>~|(</v>
      </c>
      <c r="L689" s="6">
        <f>FLOOR(VLOOKUP($D689,Sheet1!$D$5:$F$192,3,TRUE),1)</f>
        <v>7</v>
      </c>
      <c r="M689" s="42" t="str">
        <f>VLOOKUP($D689,Sheet1!$D$5:$F$192,2,TRUE)</f>
        <v>~~|</v>
      </c>
      <c r="N689" s="23">
        <f>FLOOR(VLOOKUP($D689,Sheet1!$G$5:$I$192,3,TRUE),1)</f>
        <v>9</v>
      </c>
      <c r="O689" s="42" t="str">
        <f>VLOOKUP($D689,Sheet1!$G$5:$I$192,2,TRUE)</f>
        <v>~~|</v>
      </c>
      <c r="P689" s="23">
        <v>1</v>
      </c>
      <c r="Q689" s="43" t="str">
        <f>VLOOKUP($D689,Sheet1!$J$5:$L$192,2,TRUE)</f>
        <v>~~|''</v>
      </c>
      <c r="R689" s="23">
        <f>FLOOR(VLOOKUP($D689,Sheet1!$M$5:$O$192,3,TRUE),1)</f>
        <v>38</v>
      </c>
      <c r="S689" s="42" t="str">
        <f>VLOOKUP($D689,Sheet1!$M$5:$O$192,2,TRUE)</f>
        <v>~~|''</v>
      </c>
      <c r="T689" s="117">
        <f>IF(ABS(D689-VLOOKUP($D689,Sheet1!$M$5:$T$192,8,TRUE))&lt;10^-10,"SoCA",D689-VLOOKUP($D689,Sheet1!$M$5:$T$192,8,TRUE))</f>
        <v>-4.5010296957045171E-2</v>
      </c>
      <c r="U689" s="109">
        <f>IF(VLOOKUP($D689,Sheet1!$M$5:$U$192,9,TRUE)=0,"",IF(ABS(D689-VLOOKUP($D689,Sheet1!$M$5:$U$192,9,TRUE))&lt;10^-10,"Alt.",D689-VLOOKUP($D689,Sheet1!$M$5:$U$192,9,TRUE)))</f>
        <v>-3.0958129562588255E-2</v>
      </c>
      <c r="V689" s="132">
        <f>$D689-Sheet1!$M$3*$R689</f>
        <v>-0.177257211080601</v>
      </c>
      <c r="Z689" s="6"/>
      <c r="AA689" s="61"/>
    </row>
    <row r="690" spans="1:27" ht="13.5">
      <c r="A690" t="s">
        <v>947</v>
      </c>
      <c r="B690">
        <v>2688</v>
      </c>
      <c r="C690">
        <v>2717</v>
      </c>
      <c r="D690" s="13">
        <f t="shared" si="14"/>
        <v>18.57771293185753</v>
      </c>
      <c r="E690" s="61">
        <v>19</v>
      </c>
      <c r="F690" s="65">
        <v>70.070062079553253</v>
      </c>
      <c r="G690" s="6">
        <v>857</v>
      </c>
      <c r="H690" s="6">
        <v>795</v>
      </c>
      <c r="I690" s="65">
        <v>-2.1438974675075988</v>
      </c>
      <c r="J690" s="6">
        <f>VLOOKUP($D690,Sheet1!$A$5:$C$192,3,TRUE)</f>
        <v>3</v>
      </c>
      <c r="K690" s="42" t="str">
        <f>VLOOKUP($D690,Sheet1!$A$5:$C$192,2,TRUE)</f>
        <v>~|(</v>
      </c>
      <c r="L690" s="6">
        <f>FLOOR(VLOOKUP($D690,Sheet1!$D$5:$F$192,3,TRUE),1)</f>
        <v>7</v>
      </c>
      <c r="M690" s="42" t="str">
        <f>VLOOKUP($D690,Sheet1!$D$5:$F$192,2,TRUE)</f>
        <v>~~|</v>
      </c>
      <c r="N690" s="23">
        <f>FLOOR(VLOOKUP($D690,Sheet1!$G$5:$I$192,3,TRUE),1)</f>
        <v>9</v>
      </c>
      <c r="O690" s="42" t="str">
        <f>VLOOKUP($D690,Sheet1!$G$5:$I$192,2,TRUE)</f>
        <v>~~|</v>
      </c>
      <c r="P690" s="23">
        <v>1</v>
      </c>
      <c r="Q690" s="43" t="str">
        <f>VLOOKUP($D690,Sheet1!$J$5:$L$192,2,TRUE)</f>
        <v>~~|''</v>
      </c>
      <c r="R690" s="23">
        <f>FLOOR(VLOOKUP($D690,Sheet1!$M$5:$O$192,3,TRUE),1)</f>
        <v>38</v>
      </c>
      <c r="S690" s="42" t="str">
        <f>VLOOKUP($D690,Sheet1!$M$5:$O$192,2,TRUE)</f>
        <v>~~|''</v>
      </c>
      <c r="T690" s="117">
        <f>IF(ABS(D690-VLOOKUP($D690,Sheet1!$M$5:$T$192,8,TRUE))&lt;10^-10,"SoCA",D690-VLOOKUP($D690,Sheet1!$M$5:$T$192,8,TRUE))</f>
        <v>0.16905757047441838</v>
      </c>
      <c r="U690" s="109">
        <f>IF(VLOOKUP($D690,Sheet1!$M$5:$U$192,9,TRUE)=0,"",IF(ABS(D690-VLOOKUP($D690,Sheet1!$M$5:$U$192,9,TRUE))&lt;10^-10,"Alt.",D690-VLOOKUP($D690,Sheet1!$M$5:$U$192,9,TRUE)))</f>
        <v>0.1831097378688753</v>
      </c>
      <c r="V690" s="132">
        <f>$D690-Sheet1!$M$3*$R690</f>
        <v>3.6810656350862558E-2</v>
      </c>
      <c r="Z690" s="6"/>
      <c r="AA690" s="61"/>
    </row>
    <row r="691" spans="1:27" ht="13.5">
      <c r="A691" s="6" t="s">
        <v>501</v>
      </c>
      <c r="B691" s="6">
        <f>2^7*7*11</f>
        <v>9856</v>
      </c>
      <c r="C691" s="6">
        <f>3^5*41</f>
        <v>9963</v>
      </c>
      <c r="D691" s="13">
        <f t="shared" si="14"/>
        <v>18.69356103475598</v>
      </c>
      <c r="E691" s="61">
        <v>41</v>
      </c>
      <c r="F691" s="65">
        <v>71.326972603946885</v>
      </c>
      <c r="G691" s="6">
        <v>363</v>
      </c>
      <c r="H691" s="6">
        <v>342</v>
      </c>
      <c r="I691" s="65">
        <v>3.8489693427393261</v>
      </c>
      <c r="J691" s="6">
        <f>VLOOKUP($D691,Sheet1!$A$5:$C$192,3,TRUE)</f>
        <v>3</v>
      </c>
      <c r="K691" s="42" t="str">
        <f>VLOOKUP($D691,Sheet1!$A$5:$C$192,2,TRUE)</f>
        <v>~|(</v>
      </c>
      <c r="L691" s="6">
        <f>FLOOR(VLOOKUP($D691,Sheet1!$D$5:$F$192,3,TRUE),1)</f>
        <v>7</v>
      </c>
      <c r="M691" s="42" t="str">
        <f>VLOOKUP($D691,Sheet1!$D$5:$F$192,2,TRUE)</f>
        <v>~~|</v>
      </c>
      <c r="N691" s="23">
        <f>FLOOR(VLOOKUP($D691,Sheet1!$G$5:$I$192,3,TRUE),1)</f>
        <v>9</v>
      </c>
      <c r="O691" s="42" t="str">
        <f>VLOOKUP($D691,Sheet1!$G$5:$I$192,2,TRUE)</f>
        <v>~~|</v>
      </c>
      <c r="P691" s="23">
        <v>1</v>
      </c>
      <c r="Q691" s="43" t="str">
        <f>VLOOKUP($D691,Sheet1!$J$5:$L$192,2,TRUE)</f>
        <v>~~|''</v>
      </c>
      <c r="R691" s="23">
        <f>FLOOR(VLOOKUP($D691,Sheet1!$M$5:$O$192,3,TRUE),1)</f>
        <v>38</v>
      </c>
      <c r="S691" s="42" t="str">
        <f>VLOOKUP($D691,Sheet1!$M$5:$O$192,2,TRUE)</f>
        <v>~~|''</v>
      </c>
      <c r="T691" s="117">
        <f>IF(ABS(D691-VLOOKUP($D691,Sheet1!$M$5:$T$192,8,TRUE))&lt;10^-10,"SoCA",D691-VLOOKUP($D691,Sheet1!$M$5:$T$192,8,TRUE))</f>
        <v>0.28490567337286876</v>
      </c>
      <c r="U691" s="109">
        <f>IF(VLOOKUP($D691,Sheet1!$M$5:$U$192,9,TRUE)=0,"",IF(ABS(D691-VLOOKUP($D691,Sheet1!$M$5:$U$192,9,TRUE))&lt;10^-10,"Alt.",D691-VLOOKUP($D691,Sheet1!$M$5:$U$192,9,TRUE)))</f>
        <v>0.29895784076732568</v>
      </c>
      <c r="V691" s="132">
        <f>$D691-Sheet1!$M$3*$R691</f>
        <v>0.15265875924931294</v>
      </c>
      <c r="Z691" s="6"/>
      <c r="AA691" s="61"/>
    </row>
    <row r="692" spans="1:27" ht="13.5">
      <c r="A692" t="s">
        <v>632</v>
      </c>
      <c r="B692">
        <v>93</v>
      </c>
      <c r="C692">
        <v>94</v>
      </c>
      <c r="D692" s="13">
        <f t="shared" si="14"/>
        <v>18.516048683527163</v>
      </c>
      <c r="E692" s="61">
        <v>47</v>
      </c>
      <c r="F692" s="65">
        <v>78.077559974174264</v>
      </c>
      <c r="G692" s="6">
        <v>523</v>
      </c>
      <c r="H692" s="6">
        <v>477</v>
      </c>
      <c r="I692" s="65">
        <v>-2.1401005750828102</v>
      </c>
      <c r="J692" s="6">
        <f>VLOOKUP($D692,Sheet1!$A$5:$C$192,3,TRUE)</f>
        <v>3</v>
      </c>
      <c r="K692" s="42" t="str">
        <f>VLOOKUP($D692,Sheet1!$A$5:$C$192,2,TRUE)</f>
        <v>~|(</v>
      </c>
      <c r="L692" s="6">
        <f>FLOOR(VLOOKUP($D692,Sheet1!$D$5:$F$192,3,TRUE),1)</f>
        <v>7</v>
      </c>
      <c r="M692" s="42" t="str">
        <f>VLOOKUP($D692,Sheet1!$D$5:$F$192,2,TRUE)</f>
        <v>~~|</v>
      </c>
      <c r="N692" s="23">
        <f>FLOOR(VLOOKUP($D692,Sheet1!$G$5:$I$192,3,TRUE),1)</f>
        <v>9</v>
      </c>
      <c r="O692" s="42" t="str">
        <f>VLOOKUP($D692,Sheet1!$G$5:$I$192,2,TRUE)</f>
        <v>~~|</v>
      </c>
      <c r="P692" s="23">
        <v>1</v>
      </c>
      <c r="Q692" s="43" t="str">
        <f>VLOOKUP($D692,Sheet1!$J$5:$L$192,2,TRUE)</f>
        <v>~~|''</v>
      </c>
      <c r="R692" s="23">
        <f>FLOOR(VLOOKUP($D692,Sheet1!$M$5:$O$192,3,TRUE),1)</f>
        <v>38</v>
      </c>
      <c r="S692" s="42" t="str">
        <f>VLOOKUP($D692,Sheet1!$M$5:$O$192,2,TRUE)</f>
        <v>~~|''</v>
      </c>
      <c r="T692" s="117">
        <f>IF(ABS(D692-VLOOKUP($D692,Sheet1!$M$5:$T$192,8,TRUE))&lt;10^-10,"SoCA",D692-VLOOKUP($D692,Sheet1!$M$5:$T$192,8,TRUE))</f>
        <v>0.10739332214405195</v>
      </c>
      <c r="U692" s="109">
        <f>IF(VLOOKUP($D692,Sheet1!$M$5:$U$192,9,TRUE)=0,"",IF(ABS(D692-VLOOKUP($D692,Sheet1!$M$5:$U$192,9,TRUE))&lt;10^-10,"Alt.",D692-VLOOKUP($D692,Sheet1!$M$5:$U$192,9,TRUE)))</f>
        <v>0.12144548953850887</v>
      </c>
      <c r="V692" s="132">
        <f>$D692-Sheet1!$M$3*$R692</f>
        <v>-2.4853591979503875E-2</v>
      </c>
      <c r="Z692" s="6"/>
      <c r="AA692" s="61"/>
    </row>
    <row r="693" spans="1:27" ht="13.5">
      <c r="A693" t="s">
        <v>1429</v>
      </c>
      <c r="B693">
        <v>1343488</v>
      </c>
      <c r="C693">
        <v>1358127</v>
      </c>
      <c r="D693" s="13">
        <f t="shared" si="14"/>
        <v>18.761950380589287</v>
      </c>
      <c r="E693" s="61">
        <v>41</v>
      </c>
      <c r="F693" s="65">
        <v>81.170735975007901</v>
      </c>
      <c r="G693" s="6">
        <v>1201</v>
      </c>
      <c r="H693" s="6">
        <v>1278</v>
      </c>
      <c r="I693" s="65">
        <v>8.8447583615604177</v>
      </c>
      <c r="J693" s="6">
        <f>VLOOKUP($D693,Sheet1!$A$5:$C$192,3,TRUE)</f>
        <v>3</v>
      </c>
      <c r="K693" s="42" t="str">
        <f>VLOOKUP($D693,Sheet1!$A$5:$C$192,2,TRUE)</f>
        <v>~|(</v>
      </c>
      <c r="L693" s="6">
        <f>FLOOR(VLOOKUP($D693,Sheet1!$D$5:$F$192,3,TRUE),1)</f>
        <v>7</v>
      </c>
      <c r="M693" s="42" t="str">
        <f>VLOOKUP($D693,Sheet1!$D$5:$F$192,2,TRUE)</f>
        <v>~~|</v>
      </c>
      <c r="N693" s="23">
        <f>FLOOR(VLOOKUP($D693,Sheet1!$G$5:$I$192,3,TRUE),1)</f>
        <v>9</v>
      </c>
      <c r="O693" s="42" t="str">
        <f>VLOOKUP($D693,Sheet1!$G$5:$I$192,2,TRUE)</f>
        <v>~~|</v>
      </c>
      <c r="P693" s="23">
        <v>1</v>
      </c>
      <c r="Q693" s="43" t="str">
        <f>VLOOKUP($D693,Sheet1!$J$5:$L$192,2,TRUE)</f>
        <v>~~|''</v>
      </c>
      <c r="R693" s="23">
        <f>FLOOR(VLOOKUP($D693,Sheet1!$M$5:$O$192,3,TRUE),1)</f>
        <v>38</v>
      </c>
      <c r="S693" s="42" t="str">
        <f>VLOOKUP($D693,Sheet1!$M$5:$O$192,2,TRUE)</f>
        <v>~~|''</v>
      </c>
      <c r="T693" s="117">
        <f>IF(ABS(D693-VLOOKUP($D693,Sheet1!$M$5:$T$192,8,TRUE))&lt;10^-10,"SoCA",D693-VLOOKUP($D693,Sheet1!$M$5:$T$192,8,TRUE))</f>
        <v>0.35329501920617545</v>
      </c>
      <c r="U693" s="109">
        <f>IF(VLOOKUP($D693,Sheet1!$M$5:$U$192,9,TRUE)=0,"",IF(ABS(D693-VLOOKUP($D693,Sheet1!$M$5:$U$192,9,TRUE))&lt;10^-10,"Alt.",D693-VLOOKUP($D693,Sheet1!$M$5:$U$192,9,TRUE)))</f>
        <v>0.36734718660063237</v>
      </c>
      <c r="V693" s="132">
        <f>$D693-Sheet1!$M$3*$R693</f>
        <v>0.22104810508261963</v>
      </c>
      <c r="Z693" s="6"/>
      <c r="AA693" s="61"/>
    </row>
    <row r="694" spans="1:27" ht="13.5">
      <c r="A694" t="s">
        <v>1747</v>
      </c>
      <c r="B694">
        <v>10372941</v>
      </c>
      <c r="C694">
        <v>10485760</v>
      </c>
      <c r="D694" s="13">
        <f t="shared" si="14"/>
        <v>18.72772411169051</v>
      </c>
      <c r="E694" s="61">
        <v>31</v>
      </c>
      <c r="F694" s="65">
        <v>81.870935889697734</v>
      </c>
      <c r="G694" s="6">
        <v>1653</v>
      </c>
      <c r="H694" s="6">
        <v>1596</v>
      </c>
      <c r="I694" s="65">
        <v>-10.153134202370399</v>
      </c>
      <c r="J694" s="6">
        <f>VLOOKUP($D694,Sheet1!$A$5:$C$192,3,TRUE)</f>
        <v>3</v>
      </c>
      <c r="K694" s="42" t="str">
        <f>VLOOKUP($D694,Sheet1!$A$5:$C$192,2,TRUE)</f>
        <v>~|(</v>
      </c>
      <c r="L694" s="6">
        <f>FLOOR(VLOOKUP($D694,Sheet1!$D$5:$F$192,3,TRUE),1)</f>
        <v>7</v>
      </c>
      <c r="M694" s="42" t="str">
        <f>VLOOKUP($D694,Sheet1!$D$5:$F$192,2,TRUE)</f>
        <v>~~|</v>
      </c>
      <c r="N694" s="23">
        <f>FLOOR(VLOOKUP($D694,Sheet1!$G$5:$I$192,3,TRUE),1)</f>
        <v>9</v>
      </c>
      <c r="O694" s="42" t="str">
        <f>VLOOKUP($D694,Sheet1!$G$5:$I$192,2,TRUE)</f>
        <v>~~|</v>
      </c>
      <c r="P694" s="23">
        <v>1</v>
      </c>
      <c r="Q694" s="43" t="str">
        <f>VLOOKUP($D694,Sheet1!$J$5:$L$192,2,TRUE)</f>
        <v>~~|''</v>
      </c>
      <c r="R694" s="23">
        <f>FLOOR(VLOOKUP($D694,Sheet1!$M$5:$O$192,3,TRUE),1)</f>
        <v>38</v>
      </c>
      <c r="S694" s="42" t="str">
        <f>VLOOKUP($D694,Sheet1!$M$5:$O$192,2,TRUE)</f>
        <v>~~|''</v>
      </c>
      <c r="T694" s="117">
        <f>IF(ABS(D694-VLOOKUP($D694,Sheet1!$M$5:$T$192,8,TRUE))&lt;10^-10,"SoCA",D694-VLOOKUP($D694,Sheet1!$M$5:$T$192,8,TRUE))</f>
        <v>0.31906875030739812</v>
      </c>
      <c r="U694" s="109">
        <f>IF(VLOOKUP($D694,Sheet1!$M$5:$U$192,9,TRUE)=0,"",IF(ABS(D694-VLOOKUP($D694,Sheet1!$M$5:$U$192,9,TRUE))&lt;10^-10,"Alt.",D694-VLOOKUP($D694,Sheet1!$M$5:$U$192,9,TRUE)))</f>
        <v>0.33312091770185503</v>
      </c>
      <c r="V694" s="132">
        <f>$D694-Sheet1!$M$3*$R694</f>
        <v>0.18682183618384229</v>
      </c>
      <c r="Z694" s="6"/>
      <c r="AA694" s="61"/>
    </row>
    <row r="695" spans="1:27" ht="13.5">
      <c r="A695" t="s">
        <v>1332</v>
      </c>
      <c r="B695">
        <v>8991</v>
      </c>
      <c r="C695">
        <v>9088</v>
      </c>
      <c r="D695" s="13">
        <f t="shared" si="14"/>
        <v>18.57750032394155</v>
      </c>
      <c r="E695" s="61" t="s">
        <v>1931</v>
      </c>
      <c r="F695" s="65">
        <v>109.33354820097428</v>
      </c>
      <c r="G695" s="6">
        <v>1244</v>
      </c>
      <c r="H695" s="6">
        <v>1181</v>
      </c>
      <c r="I695" s="65">
        <v>-6.1438843764636388</v>
      </c>
      <c r="J695" s="6">
        <f>VLOOKUP($D695,Sheet1!$A$5:$C$192,3,TRUE)</f>
        <v>3</v>
      </c>
      <c r="K695" s="42" t="str">
        <f>VLOOKUP($D695,Sheet1!$A$5:$C$192,2,TRUE)</f>
        <v>~|(</v>
      </c>
      <c r="L695" s="6">
        <f>FLOOR(VLOOKUP($D695,Sheet1!$D$5:$F$192,3,TRUE),1)</f>
        <v>7</v>
      </c>
      <c r="M695" s="42" t="str">
        <f>VLOOKUP($D695,Sheet1!$D$5:$F$192,2,TRUE)</f>
        <v>~~|</v>
      </c>
      <c r="N695" s="23">
        <f>FLOOR(VLOOKUP($D695,Sheet1!$G$5:$I$192,3,TRUE),1)</f>
        <v>9</v>
      </c>
      <c r="O695" s="42" t="str">
        <f>VLOOKUP($D695,Sheet1!$G$5:$I$192,2,TRUE)</f>
        <v>~~|</v>
      </c>
      <c r="P695" s="23">
        <v>1</v>
      </c>
      <c r="Q695" s="43" t="str">
        <f>VLOOKUP($D695,Sheet1!$J$5:$L$192,2,TRUE)</f>
        <v>~~|''</v>
      </c>
      <c r="R695" s="23">
        <f>FLOOR(VLOOKUP($D695,Sheet1!$M$5:$O$192,3,TRUE),1)</f>
        <v>38</v>
      </c>
      <c r="S695" s="42" t="str">
        <f>VLOOKUP($D695,Sheet1!$M$5:$O$192,2,TRUE)</f>
        <v>~~|''</v>
      </c>
      <c r="T695" s="117">
        <f>IF(ABS(D695-VLOOKUP($D695,Sheet1!$M$5:$T$192,8,TRUE))&lt;10^-10,"SoCA",D695-VLOOKUP($D695,Sheet1!$M$5:$T$192,8,TRUE))</f>
        <v>0.16884496255843828</v>
      </c>
      <c r="U695" s="109">
        <f>IF(VLOOKUP($D695,Sheet1!$M$5:$U$192,9,TRUE)=0,"",IF(ABS(D695-VLOOKUP($D695,Sheet1!$M$5:$U$192,9,TRUE))&lt;10^-10,"Alt.",D695-VLOOKUP($D695,Sheet1!$M$5:$U$192,9,TRUE)))</f>
        <v>0.1828971299528952</v>
      </c>
      <c r="V695" s="132">
        <f>$D695-Sheet1!$M$3*$R695</f>
        <v>3.6598048434882458E-2</v>
      </c>
      <c r="Z695" s="6"/>
      <c r="AA695" s="61"/>
    </row>
    <row r="696" spans="1:27" ht="13.5">
      <c r="A696" t="s">
        <v>1399</v>
      </c>
      <c r="B696">
        <v>421888</v>
      </c>
      <c r="C696">
        <v>426465</v>
      </c>
      <c r="D696" s="13">
        <f t="shared" si="14"/>
        <v>18.680749937382615</v>
      </c>
      <c r="E696" s="61" t="s">
        <v>1931</v>
      </c>
      <c r="F696" s="65">
        <v>150.13582636103425</v>
      </c>
      <c r="G696" s="6">
        <v>1313</v>
      </c>
      <c r="H696" s="6">
        <v>1248</v>
      </c>
      <c r="I696" s="65">
        <v>6.8497581686779725</v>
      </c>
      <c r="J696" s="6">
        <f>VLOOKUP($D696,Sheet1!$A$5:$C$192,3,TRUE)</f>
        <v>3</v>
      </c>
      <c r="K696" s="42" t="str">
        <f>VLOOKUP($D696,Sheet1!$A$5:$C$192,2,TRUE)</f>
        <v>~|(</v>
      </c>
      <c r="L696" s="6">
        <f>FLOOR(VLOOKUP($D696,Sheet1!$D$5:$F$192,3,TRUE),1)</f>
        <v>7</v>
      </c>
      <c r="M696" s="42" t="str">
        <f>VLOOKUP($D696,Sheet1!$D$5:$F$192,2,TRUE)</f>
        <v>~~|</v>
      </c>
      <c r="N696" s="23">
        <f>FLOOR(VLOOKUP($D696,Sheet1!$G$5:$I$192,3,TRUE),1)</f>
        <v>9</v>
      </c>
      <c r="O696" s="42" t="str">
        <f>VLOOKUP($D696,Sheet1!$G$5:$I$192,2,TRUE)</f>
        <v>~~|</v>
      </c>
      <c r="P696" s="23">
        <v>1</v>
      </c>
      <c r="Q696" s="43" t="str">
        <f>VLOOKUP($D696,Sheet1!$J$5:$L$192,2,TRUE)</f>
        <v>~~|''</v>
      </c>
      <c r="R696" s="23">
        <f>FLOOR(VLOOKUP($D696,Sheet1!$M$5:$O$192,3,TRUE),1)</f>
        <v>38</v>
      </c>
      <c r="S696" s="42" t="str">
        <f>VLOOKUP($D696,Sheet1!$M$5:$O$192,2,TRUE)</f>
        <v>~~|''</v>
      </c>
      <c r="T696" s="117">
        <f>IF(ABS(D696-VLOOKUP($D696,Sheet1!$M$5:$T$192,8,TRUE))&lt;10^-10,"SoCA",D696-VLOOKUP($D696,Sheet1!$M$5:$T$192,8,TRUE))</f>
        <v>0.27209457599950326</v>
      </c>
      <c r="U696" s="109">
        <f>IF(VLOOKUP($D696,Sheet1!$M$5:$U$192,9,TRUE)=0,"",IF(ABS(D696-VLOOKUP($D696,Sheet1!$M$5:$U$192,9,TRUE))&lt;10^-10,"Alt.",D696-VLOOKUP($D696,Sheet1!$M$5:$U$192,9,TRUE)))</f>
        <v>0.28614674339396018</v>
      </c>
      <c r="V696" s="132">
        <f>$D696-Sheet1!$M$3*$R696</f>
        <v>0.13984766187594744</v>
      </c>
      <c r="Z696" s="6"/>
      <c r="AA696" s="61"/>
    </row>
    <row r="697" spans="1:27" ht="13.5">
      <c r="A697" t="s">
        <v>922</v>
      </c>
      <c r="B697">
        <v>2912</v>
      </c>
      <c r="C697">
        <v>2943</v>
      </c>
      <c r="D697" s="13">
        <f t="shared" si="14"/>
        <v>18.332624090038486</v>
      </c>
      <c r="E697" s="61" t="s">
        <v>1931</v>
      </c>
      <c r="F697" s="65">
        <v>154.95699085909561</v>
      </c>
      <c r="G697" s="6">
        <v>831</v>
      </c>
      <c r="H697" s="6">
        <v>770</v>
      </c>
      <c r="I697" s="65">
        <v>1.8711935453904642</v>
      </c>
      <c r="J697" s="6">
        <f>VLOOKUP($D697,Sheet1!$A$5:$C$192,3,TRUE)</f>
        <v>3</v>
      </c>
      <c r="K697" s="42" t="str">
        <f>VLOOKUP($D697,Sheet1!$A$5:$C$192,2,TRUE)</f>
        <v>~|(</v>
      </c>
      <c r="L697" s="6">
        <f>FLOOR(VLOOKUP($D697,Sheet1!$D$5:$F$192,3,TRUE),1)</f>
        <v>7</v>
      </c>
      <c r="M697" s="42" t="str">
        <f>VLOOKUP($D697,Sheet1!$D$5:$F$192,2,TRUE)</f>
        <v>~~|</v>
      </c>
      <c r="N697" s="23">
        <f>FLOOR(VLOOKUP($D697,Sheet1!$G$5:$I$192,3,TRUE),1)</f>
        <v>9</v>
      </c>
      <c r="O697" s="42" t="str">
        <f>VLOOKUP($D697,Sheet1!$G$5:$I$192,2,TRUE)</f>
        <v>~~|</v>
      </c>
      <c r="P697" s="23">
        <v>1</v>
      </c>
      <c r="Q697" s="43" t="str">
        <f>VLOOKUP($D697,Sheet1!$J$5:$L$192,2,TRUE)</f>
        <v>~~|''</v>
      </c>
      <c r="R697" s="23">
        <f>FLOOR(VLOOKUP($D697,Sheet1!$M$5:$O$192,3,TRUE),1)</f>
        <v>38</v>
      </c>
      <c r="S697" s="42" t="str">
        <f>VLOOKUP($D697,Sheet1!$M$5:$O$192,2,TRUE)</f>
        <v>~~|''</v>
      </c>
      <c r="T697" s="117">
        <f>IF(ABS(D697-VLOOKUP($D697,Sheet1!$M$5:$T$192,8,TRUE))&lt;10^-10,"SoCA",D697-VLOOKUP($D697,Sheet1!$M$5:$T$192,8,TRUE))</f>
        <v>-7.6031271344625395E-2</v>
      </c>
      <c r="U697" s="109">
        <f>IF(VLOOKUP($D697,Sheet1!$M$5:$U$192,9,TRUE)=0,"",IF(ABS(D697-VLOOKUP($D697,Sheet1!$M$5:$U$192,9,TRUE))&lt;10^-10,"Alt.",D697-VLOOKUP($D697,Sheet1!$M$5:$U$192,9,TRUE)))</f>
        <v>-6.1979103950168479E-2</v>
      </c>
      <c r="V697" s="132">
        <f>$D697-Sheet1!$M$3*$R697</f>
        <v>-0.20827818546818122</v>
      </c>
      <c r="Z697" s="6"/>
      <c r="AA697" s="61"/>
    </row>
    <row r="698" spans="1:27" ht="13.5">
      <c r="A698" t="s">
        <v>1035</v>
      </c>
      <c r="B698">
        <v>657</v>
      </c>
      <c r="C698">
        <v>664</v>
      </c>
      <c r="D698" s="13">
        <f t="shared" si="14"/>
        <v>18.3478452295141</v>
      </c>
      <c r="E698" s="61" t="s">
        <v>1931</v>
      </c>
      <c r="F698" s="65">
        <v>156.1783296602685</v>
      </c>
      <c r="G698" s="6">
        <v>955</v>
      </c>
      <c r="H698" s="6">
        <v>883</v>
      </c>
      <c r="I698" s="65">
        <v>-3.1297436756206798</v>
      </c>
      <c r="J698" s="6">
        <f>VLOOKUP($D698,Sheet1!$A$5:$C$192,3,TRUE)</f>
        <v>3</v>
      </c>
      <c r="K698" s="42" t="str">
        <f>VLOOKUP($D698,Sheet1!$A$5:$C$192,2,TRUE)</f>
        <v>~|(</v>
      </c>
      <c r="L698" s="6">
        <f>FLOOR(VLOOKUP($D698,Sheet1!$D$5:$F$192,3,TRUE),1)</f>
        <v>7</v>
      </c>
      <c r="M698" s="42" t="str">
        <f>VLOOKUP($D698,Sheet1!$D$5:$F$192,2,TRUE)</f>
        <v>~~|</v>
      </c>
      <c r="N698" s="23">
        <f>FLOOR(VLOOKUP($D698,Sheet1!$G$5:$I$192,3,TRUE),1)</f>
        <v>9</v>
      </c>
      <c r="O698" s="42" t="str">
        <f>VLOOKUP($D698,Sheet1!$G$5:$I$192,2,TRUE)</f>
        <v>~~|</v>
      </c>
      <c r="P698" s="23">
        <v>1</v>
      </c>
      <c r="Q698" s="43" t="str">
        <f>VLOOKUP($D698,Sheet1!$J$5:$L$192,2,TRUE)</f>
        <v>~~|''</v>
      </c>
      <c r="R698" s="23">
        <f>FLOOR(VLOOKUP($D698,Sheet1!$M$5:$O$192,3,TRUE),1)</f>
        <v>38</v>
      </c>
      <c r="S698" s="42" t="str">
        <f>VLOOKUP($D698,Sheet1!$M$5:$O$192,2,TRUE)</f>
        <v>~~|''</v>
      </c>
      <c r="T698" s="117">
        <f>IF(ABS(D698-VLOOKUP($D698,Sheet1!$M$5:$T$192,8,TRUE))&lt;10^-10,"SoCA",D698-VLOOKUP($D698,Sheet1!$M$5:$T$192,8,TRUE))</f>
        <v>-6.0810131869011741E-2</v>
      </c>
      <c r="U698" s="109">
        <f>IF(VLOOKUP($D698,Sheet1!$M$5:$U$192,9,TRUE)=0,"",IF(ABS(D698-VLOOKUP($D698,Sheet1!$M$5:$U$192,9,TRUE))&lt;10^-10,"Alt.",D698-VLOOKUP($D698,Sheet1!$M$5:$U$192,9,TRUE)))</f>
        <v>-4.6757964474554825E-2</v>
      </c>
      <c r="V698" s="132">
        <f>$D698-Sheet1!$M$3*$R698</f>
        <v>-0.19305704599256757</v>
      </c>
      <c r="Z698" s="6"/>
      <c r="AA698" s="61"/>
    </row>
    <row r="699" spans="1:27" ht="13.5">
      <c r="A699" t="s">
        <v>1014</v>
      </c>
      <c r="B699">
        <v>17179869184</v>
      </c>
      <c r="C699">
        <v>17363069361</v>
      </c>
      <c r="D699" s="13">
        <f t="shared" si="14"/>
        <v>18.363542379603331</v>
      </c>
      <c r="E699" s="61">
        <v>11</v>
      </c>
      <c r="F699" s="65">
        <v>229.08968536617232</v>
      </c>
      <c r="G699" s="6">
        <v>930</v>
      </c>
      <c r="H699" s="6">
        <v>862</v>
      </c>
      <c r="I699" s="65">
        <v>2.8692897936604949</v>
      </c>
      <c r="J699" s="6">
        <f>VLOOKUP($D699,Sheet1!$A$5:$C$192,3,TRUE)</f>
        <v>3</v>
      </c>
      <c r="K699" s="42" t="str">
        <f>VLOOKUP($D699,Sheet1!$A$5:$C$192,2,TRUE)</f>
        <v>~|(</v>
      </c>
      <c r="L699" s="6">
        <f>FLOOR(VLOOKUP($D699,Sheet1!$D$5:$F$192,3,TRUE),1)</f>
        <v>7</v>
      </c>
      <c r="M699" s="42" t="str">
        <f>VLOOKUP($D699,Sheet1!$D$5:$F$192,2,TRUE)</f>
        <v>~~|</v>
      </c>
      <c r="N699" s="23">
        <f>FLOOR(VLOOKUP($D699,Sheet1!$G$5:$I$192,3,TRUE),1)</f>
        <v>9</v>
      </c>
      <c r="O699" s="42" t="str">
        <f>VLOOKUP($D699,Sheet1!$G$5:$I$192,2,TRUE)</f>
        <v>~~|</v>
      </c>
      <c r="P699" s="23">
        <v>1</v>
      </c>
      <c r="Q699" s="43" t="str">
        <f>VLOOKUP($D699,Sheet1!$J$5:$L$192,2,TRUE)</f>
        <v>~~|''</v>
      </c>
      <c r="R699" s="23">
        <f>FLOOR(VLOOKUP($D699,Sheet1!$M$5:$O$192,3,TRUE),1)</f>
        <v>38</v>
      </c>
      <c r="S699" s="42" t="str">
        <f>VLOOKUP($D699,Sheet1!$M$5:$O$192,2,TRUE)</f>
        <v>~~|''</v>
      </c>
      <c r="T699" s="117">
        <f>IF(ABS(D699-VLOOKUP($D699,Sheet1!$M$5:$T$192,8,TRUE))&lt;10^-10,"SoCA",D699-VLOOKUP($D699,Sheet1!$M$5:$T$192,8,TRUE))</f>
        <v>-4.5112981779780625E-2</v>
      </c>
      <c r="U699" s="109">
        <f>IF(VLOOKUP($D699,Sheet1!$M$5:$U$192,9,TRUE)=0,"",IF(ABS(D699-VLOOKUP($D699,Sheet1!$M$5:$U$192,9,TRUE))&lt;10^-10,"Alt.",D699-VLOOKUP($D699,Sheet1!$M$5:$U$192,9,TRUE)))</f>
        <v>-3.106081438532371E-2</v>
      </c>
      <c r="V699" s="132">
        <f>$D699-Sheet1!$M$3*$R699</f>
        <v>-0.17735989590333645</v>
      </c>
      <c r="Z699" s="6"/>
      <c r="AA699" s="61"/>
    </row>
    <row r="700" spans="1:27" ht="13.5">
      <c r="A700" t="s">
        <v>1503</v>
      </c>
      <c r="B700">
        <v>3874816</v>
      </c>
      <c r="C700">
        <v>3916917</v>
      </c>
      <c r="D700" s="13">
        <f t="shared" si="14"/>
        <v>18.708904433591186</v>
      </c>
      <c r="E700" s="61" t="s">
        <v>1931</v>
      </c>
      <c r="F700" s="65">
        <v>314.9630362621096</v>
      </c>
      <c r="G700" s="6">
        <v>1414</v>
      </c>
      <c r="H700" s="6">
        <v>1352</v>
      </c>
      <c r="I700" s="65">
        <v>7.8480245937739967</v>
      </c>
      <c r="J700" s="6">
        <f>VLOOKUP($D700,Sheet1!$A$5:$C$192,3,TRUE)</f>
        <v>3</v>
      </c>
      <c r="K700" s="42" t="str">
        <f>VLOOKUP($D700,Sheet1!$A$5:$C$192,2,TRUE)</f>
        <v>~|(</v>
      </c>
      <c r="L700" s="6">
        <f>FLOOR(VLOOKUP($D700,Sheet1!$D$5:$F$192,3,TRUE),1)</f>
        <v>7</v>
      </c>
      <c r="M700" s="42" t="str">
        <f>VLOOKUP($D700,Sheet1!$D$5:$F$192,2,TRUE)</f>
        <v>~~|</v>
      </c>
      <c r="N700" s="23">
        <f>FLOOR(VLOOKUP($D700,Sheet1!$G$5:$I$192,3,TRUE),1)</f>
        <v>9</v>
      </c>
      <c r="O700" s="42" t="str">
        <f>VLOOKUP($D700,Sheet1!$G$5:$I$192,2,TRUE)</f>
        <v>~~|</v>
      </c>
      <c r="P700" s="23">
        <v>1</v>
      </c>
      <c r="Q700" s="43" t="str">
        <f>VLOOKUP($D700,Sheet1!$J$5:$L$192,2,TRUE)</f>
        <v>~~|''</v>
      </c>
      <c r="R700" s="23">
        <f>FLOOR(VLOOKUP($D700,Sheet1!$M$5:$O$192,3,TRUE),1)</f>
        <v>38</v>
      </c>
      <c r="S700" s="42" t="str">
        <f>VLOOKUP($D700,Sheet1!$M$5:$O$192,2,TRUE)</f>
        <v>~~|''</v>
      </c>
      <c r="T700" s="117">
        <f>IF(ABS(D700-VLOOKUP($D700,Sheet1!$M$5:$T$192,8,TRUE))&lt;10^-10,"SoCA",D700-VLOOKUP($D700,Sheet1!$M$5:$T$192,8,TRUE))</f>
        <v>0.30024907220807506</v>
      </c>
      <c r="U700" s="109">
        <f>IF(VLOOKUP($D700,Sheet1!$M$5:$U$192,9,TRUE)=0,"",IF(ABS(D700-VLOOKUP($D700,Sheet1!$M$5:$U$192,9,TRUE))&lt;10^-10,"Alt.",D700-VLOOKUP($D700,Sheet1!$M$5:$U$192,9,TRUE)))</f>
        <v>0.31430123960253198</v>
      </c>
      <c r="V700" s="132">
        <f>$D700-Sheet1!$M$3*$R700</f>
        <v>0.16800215808451924</v>
      </c>
      <c r="Z700" s="6"/>
      <c r="AA700" s="61"/>
    </row>
    <row r="701" spans="1:27" ht="13.5">
      <c r="A701" t="s">
        <v>1400</v>
      </c>
      <c r="B701">
        <v>4096000</v>
      </c>
      <c r="C701">
        <v>4139991</v>
      </c>
      <c r="D701" s="13">
        <f t="shared" si="14"/>
        <v>18.494299307653691</v>
      </c>
      <c r="E701" s="61" t="s">
        <v>1931</v>
      </c>
      <c r="F701" s="65">
        <v>911.05670587534712</v>
      </c>
      <c r="G701" s="6">
        <v>1314</v>
      </c>
      <c r="H701" s="6">
        <v>1249</v>
      </c>
      <c r="I701" s="65">
        <v>6.8612386132270098</v>
      </c>
      <c r="J701" s="6">
        <f>VLOOKUP($D701,Sheet1!$A$5:$C$192,3,TRUE)</f>
        <v>3</v>
      </c>
      <c r="K701" s="42" t="str">
        <f>VLOOKUP($D701,Sheet1!$A$5:$C$192,2,TRUE)</f>
        <v>~|(</v>
      </c>
      <c r="L701" s="6">
        <f>FLOOR(VLOOKUP($D701,Sheet1!$D$5:$F$192,3,TRUE),1)</f>
        <v>7</v>
      </c>
      <c r="M701" s="42" t="str">
        <f>VLOOKUP($D701,Sheet1!$D$5:$F$192,2,TRUE)</f>
        <v>~~|</v>
      </c>
      <c r="N701" s="23">
        <f>FLOOR(VLOOKUP($D701,Sheet1!$G$5:$I$192,3,TRUE),1)</f>
        <v>9</v>
      </c>
      <c r="O701" s="42" t="str">
        <f>VLOOKUP($D701,Sheet1!$G$5:$I$192,2,TRUE)</f>
        <v>~~|</v>
      </c>
      <c r="P701" s="23">
        <v>1</v>
      </c>
      <c r="Q701" s="43" t="str">
        <f>VLOOKUP($D701,Sheet1!$J$5:$L$192,2,TRUE)</f>
        <v>~~|''</v>
      </c>
      <c r="R701" s="23">
        <f>FLOOR(VLOOKUP($D701,Sheet1!$M$5:$O$192,3,TRUE),1)</f>
        <v>38</v>
      </c>
      <c r="S701" s="42" t="str">
        <f>VLOOKUP($D701,Sheet1!$M$5:$O$192,2,TRUE)</f>
        <v>~~|''</v>
      </c>
      <c r="T701" s="117">
        <f>IF(ABS(D701-VLOOKUP($D701,Sheet1!$M$5:$T$192,8,TRUE))&lt;10^-10,"SoCA",D701-VLOOKUP($D701,Sheet1!$M$5:$T$192,8,TRUE))</f>
        <v>8.5643946270579363E-2</v>
      </c>
      <c r="U701" s="109">
        <f>IF(VLOOKUP($D701,Sheet1!$M$5:$U$192,9,TRUE)=0,"",IF(ABS(D701-VLOOKUP($D701,Sheet1!$M$5:$U$192,9,TRUE))&lt;10^-10,"Alt.",D701-VLOOKUP($D701,Sheet1!$M$5:$U$192,9,TRUE)))</f>
        <v>9.9696113665036279E-2</v>
      </c>
      <c r="V701" s="132">
        <f>$D701-Sheet1!$M$3*$R701</f>
        <v>-4.6602967852976462E-2</v>
      </c>
      <c r="Z701" s="6"/>
      <c r="AA701" s="61"/>
    </row>
    <row r="702" spans="1:27" ht="13.5">
      <c r="A702" t="s">
        <v>1615</v>
      </c>
      <c r="B702">
        <v>17648648192</v>
      </c>
      <c r="C702">
        <v>17836636185</v>
      </c>
      <c r="D702" s="13">
        <f t="shared" si="14"/>
        <v>18.343054854919131</v>
      </c>
      <c r="E702" s="61" t="s">
        <v>1931</v>
      </c>
      <c r="F702" s="65">
        <v>84809.780136879664</v>
      </c>
      <c r="G702" s="6">
        <v>1520</v>
      </c>
      <c r="H702" s="6">
        <v>1464</v>
      </c>
      <c r="I702" s="65">
        <v>8.8705512851954182</v>
      </c>
      <c r="J702" s="6">
        <f>VLOOKUP($D702,Sheet1!$A$5:$C$192,3,TRUE)</f>
        <v>3</v>
      </c>
      <c r="K702" s="42" t="str">
        <f>VLOOKUP($D702,Sheet1!$A$5:$C$192,2,TRUE)</f>
        <v>~|(</v>
      </c>
      <c r="L702" s="6">
        <f>FLOOR(VLOOKUP($D702,Sheet1!$D$5:$F$192,3,TRUE),1)</f>
        <v>7</v>
      </c>
      <c r="M702" s="42" t="str">
        <f>VLOOKUP($D702,Sheet1!$D$5:$F$192,2,TRUE)</f>
        <v>~~|</v>
      </c>
      <c r="N702" s="23">
        <f>FLOOR(VLOOKUP($D702,Sheet1!$G$5:$I$192,3,TRUE),1)</f>
        <v>9</v>
      </c>
      <c r="O702" s="42" t="str">
        <f>VLOOKUP($D702,Sheet1!$G$5:$I$192,2,TRUE)</f>
        <v>~~|</v>
      </c>
      <c r="P702" s="23">
        <v>1</v>
      </c>
      <c r="Q702" s="43" t="str">
        <f>VLOOKUP($D702,Sheet1!$J$5:$L$192,2,TRUE)</f>
        <v>~~|''</v>
      </c>
      <c r="R702" s="23">
        <f>FLOOR(VLOOKUP($D702,Sheet1!$M$5:$O$192,3,TRUE),1)</f>
        <v>38</v>
      </c>
      <c r="S702" s="42" t="str">
        <f>VLOOKUP($D702,Sheet1!$M$5:$O$192,2,TRUE)</f>
        <v>~~|''</v>
      </c>
      <c r="T702" s="117">
        <f>IF(ABS(D702-VLOOKUP($D702,Sheet1!$M$5:$T$192,8,TRUE))&lt;10^-10,"SoCA",D702-VLOOKUP($D702,Sheet1!$M$5:$T$192,8,TRUE))</f>
        <v>-6.5600506463979968E-2</v>
      </c>
      <c r="U702" s="109">
        <f>IF(VLOOKUP($D702,Sheet1!$M$5:$U$192,9,TRUE)=0,"",IF(ABS(D702-VLOOKUP($D702,Sheet1!$M$5:$U$192,9,TRUE))&lt;10^-10,"Alt.",D702-VLOOKUP($D702,Sheet1!$M$5:$U$192,9,TRUE)))</f>
        <v>-5.1548339069523053E-2</v>
      </c>
      <c r="V702" s="132">
        <f>$D702-Sheet1!$M$3*$R702</f>
        <v>-0.19784742058753579</v>
      </c>
      <c r="Z702" s="6"/>
      <c r="AA702" s="61"/>
    </row>
    <row r="703" spans="1:27" ht="13.5">
      <c r="A703" t="s">
        <v>1401</v>
      </c>
      <c r="B703">
        <v>34190491648</v>
      </c>
      <c r="C703">
        <v>34554300381</v>
      </c>
      <c r="D703" s="13">
        <f t="shared" si="14"/>
        <v>18.324121068236455</v>
      </c>
      <c r="E703" s="61" t="s">
        <v>1931</v>
      </c>
      <c r="F703" s="65">
        <v>1456014.0372716147</v>
      </c>
      <c r="G703" s="6">
        <v>1315</v>
      </c>
      <c r="H703" s="6">
        <v>1250</v>
      </c>
      <c r="I703" s="65">
        <v>6.8717171074210102</v>
      </c>
      <c r="J703" s="6">
        <f>VLOOKUP($D703,Sheet1!$A$5:$C$192,3,TRUE)</f>
        <v>3</v>
      </c>
      <c r="K703" s="42" t="str">
        <f>VLOOKUP($D703,Sheet1!$A$5:$C$192,2,TRUE)</f>
        <v>~|(</v>
      </c>
      <c r="L703" s="6">
        <f>FLOOR(VLOOKUP($D703,Sheet1!$D$5:$F$192,3,TRUE),1)</f>
        <v>7</v>
      </c>
      <c r="M703" s="42" t="str">
        <f>VLOOKUP($D703,Sheet1!$D$5:$F$192,2,TRUE)</f>
        <v>~~|</v>
      </c>
      <c r="N703" s="23">
        <f>FLOOR(VLOOKUP($D703,Sheet1!$G$5:$I$192,3,TRUE),1)</f>
        <v>9</v>
      </c>
      <c r="O703" s="42" t="str">
        <f>VLOOKUP($D703,Sheet1!$G$5:$I$192,2,TRUE)</f>
        <v>~~|</v>
      </c>
      <c r="P703" s="23">
        <v>1</v>
      </c>
      <c r="Q703" s="43" t="str">
        <f>VLOOKUP($D703,Sheet1!$J$5:$L$192,2,TRUE)</f>
        <v>~~|''</v>
      </c>
      <c r="R703" s="23">
        <f>FLOOR(VLOOKUP($D703,Sheet1!$M$5:$O$192,3,TRUE),1)</f>
        <v>38</v>
      </c>
      <c r="S703" s="42" t="str">
        <f>VLOOKUP($D703,Sheet1!$M$5:$O$192,2,TRUE)</f>
        <v>~~|''</v>
      </c>
      <c r="T703" s="117">
        <f>IF(ABS(D703-VLOOKUP($D703,Sheet1!$M$5:$T$192,8,TRUE))&lt;10^-10,"SoCA",D703-VLOOKUP($D703,Sheet1!$M$5:$T$192,8,TRUE))</f>
        <v>-8.4534293146656836E-2</v>
      </c>
      <c r="U703" s="109">
        <f>IF(VLOOKUP($D703,Sheet1!$M$5:$U$192,9,TRUE)=0,"",IF(ABS(D703-VLOOKUP($D703,Sheet1!$M$5:$U$192,9,TRUE))&lt;10^-10,"Alt.",D703-VLOOKUP($D703,Sheet1!$M$5:$U$192,9,TRUE)))</f>
        <v>-7.048212575219992E-2</v>
      </c>
      <c r="V703" s="132">
        <f>$D703-Sheet1!$M$3*$R703</f>
        <v>-0.21678120727021266</v>
      </c>
      <c r="Z703" s="6"/>
      <c r="AA703" s="61"/>
    </row>
    <row r="704" spans="1:27" ht="13.5">
      <c r="A704" s="38" t="s">
        <v>328</v>
      </c>
      <c r="B704" s="38">
        <f>2*3^2*5</f>
        <v>90</v>
      </c>
      <c r="C704" s="38">
        <f>7*13</f>
        <v>91</v>
      </c>
      <c r="D704" s="13">
        <f t="shared" si="14"/>
        <v>19.129852642825803</v>
      </c>
      <c r="E704" s="61">
        <v>13</v>
      </c>
      <c r="F704" s="65">
        <v>30.118799999685578</v>
      </c>
      <c r="G704" s="6">
        <v>175</v>
      </c>
      <c r="H704" s="6">
        <v>160</v>
      </c>
      <c r="I704" s="65">
        <v>-3.1778947210664006</v>
      </c>
      <c r="J704" s="6">
        <f>VLOOKUP($D704,Sheet1!$A$5:$C$192,3,TRUE)</f>
        <v>4</v>
      </c>
      <c r="K704" s="42" t="str">
        <f>VLOOKUP($D704,Sheet1!$A$5:$C$192,2,TRUE)</f>
        <v>/|</v>
      </c>
      <c r="L704" s="6">
        <f>FLOOR(VLOOKUP($D704,Sheet1!$D$5:$F$192,3,TRUE),1)</f>
        <v>8</v>
      </c>
      <c r="M704" s="42" t="str">
        <f>VLOOKUP($D704,Sheet1!$D$5:$F$192,2,TRUE)</f>
        <v>)|~</v>
      </c>
      <c r="N704" s="23">
        <f>FLOOR(VLOOKUP($D704,Sheet1!$G$5:$I$192,3,TRUE),1)</f>
        <v>10</v>
      </c>
      <c r="O704" s="42" t="str">
        <f>VLOOKUP($D704,Sheet1!$G$5:$I$192,2,TRUE)</f>
        <v>./|</v>
      </c>
      <c r="P704" s="23">
        <v>1</v>
      </c>
      <c r="Q704" s="45" t="str">
        <f>VLOOKUP($D704,Sheet1!$J$5:$L$192,2,TRUE)</f>
        <v>./|.</v>
      </c>
      <c r="R704" s="38">
        <f>FLOOR(VLOOKUP($D704,Sheet1!$M$5:$O$192,3,TRUE),1)</f>
        <v>39</v>
      </c>
      <c r="S704" s="45" t="str">
        <f>VLOOKUP($D704,Sheet1!$M$5:$O$192,2,TRUE)</f>
        <v>./|.</v>
      </c>
      <c r="T704" s="112" t="str">
        <f>IF(ABS(D704-VLOOKUP($D704,Sheet1!$M$5:$T$192,8,TRUE))&lt;10^-10,"SoCA",D704-VLOOKUP($D704,Sheet1!$M$5:$T$192,8,TRUE))</f>
        <v>SoCA</v>
      </c>
      <c r="U704" s="108">
        <f>IF(VLOOKUP($D704,Sheet1!$M$5:$U$192,9,TRUE)=0,"",IF(ABS(D704-VLOOKUP($D704,Sheet1!$M$5:$U$192,9,TRUE))&lt;10^-10,"Alt.",D704-VLOOKUP($D704,Sheet1!$M$5:$U$192,9,TRUE)))</f>
        <v>-2.6960295202428597E-2</v>
      </c>
      <c r="V704" s="133">
        <f>$D704-Sheet1!$M$3*$R704</f>
        <v>0.10103188638474947</v>
      </c>
      <c r="Z704" s="6"/>
      <c r="AA704" s="61"/>
    </row>
    <row r="705" spans="1:27" ht="13.5">
      <c r="A705" s="6" t="s">
        <v>830</v>
      </c>
      <c r="B705" s="6">
        <f>2^6*13^2</f>
        <v>10816</v>
      </c>
      <c r="C705" s="6">
        <f>3^7*5</f>
        <v>10935</v>
      </c>
      <c r="D705" s="13">
        <f t="shared" si="14"/>
        <v>18.943396383925599</v>
      </c>
      <c r="E705" s="61">
        <v>13</v>
      </c>
      <c r="F705" s="65">
        <v>38.9869640144153</v>
      </c>
      <c r="G705" s="6">
        <v>644</v>
      </c>
      <c r="H705" s="6">
        <v>677</v>
      </c>
      <c r="I705" s="65">
        <v>5.8335860700912203</v>
      </c>
      <c r="J705" s="6">
        <f>VLOOKUP($D705,Sheet1!$A$5:$C$192,3,TRUE)</f>
        <v>4</v>
      </c>
      <c r="K705" s="42" t="str">
        <f>VLOOKUP($D705,Sheet1!$A$5:$C$192,2,TRUE)</f>
        <v>/|</v>
      </c>
      <c r="L705" s="6">
        <f>FLOOR(VLOOKUP($D705,Sheet1!$D$5:$F$192,3,TRUE),1)</f>
        <v>8</v>
      </c>
      <c r="M705" s="42" t="str">
        <f>VLOOKUP($D705,Sheet1!$D$5:$F$192,2,TRUE)</f>
        <v>)|~</v>
      </c>
      <c r="N705" s="23">
        <f>FLOOR(VLOOKUP($D705,Sheet1!$G$5:$I$192,3,TRUE),1)</f>
        <v>10</v>
      </c>
      <c r="O705" s="42" t="str">
        <f>VLOOKUP($D705,Sheet1!$G$5:$I$192,2,TRUE)</f>
        <v>./|</v>
      </c>
      <c r="P705" s="23">
        <v>1</v>
      </c>
      <c r="Q705" s="43" t="str">
        <f>VLOOKUP($D705,Sheet1!$J$5:$L$192,2,TRUE)</f>
        <v>./|.</v>
      </c>
      <c r="R705" s="23">
        <f>FLOOR(VLOOKUP($D705,Sheet1!$M$5:$O$192,3,TRUE),1)</f>
        <v>39</v>
      </c>
      <c r="S705" s="42" t="str">
        <f>VLOOKUP($D705,Sheet1!$M$5:$O$192,2,TRUE)</f>
        <v>'|~'</v>
      </c>
      <c r="T705" s="117">
        <f>IF(ABS(D705-VLOOKUP($D705,Sheet1!$M$5:$T$192,8,TRUE))&lt;10^-10,"SoCA",D705-VLOOKUP($D705,Sheet1!$M$5:$T$192,8,TRUE))</f>
        <v>2.2617353945811658E-2</v>
      </c>
      <c r="U705" s="109">
        <f>IF(VLOOKUP($D705,Sheet1!$M$5:$U$192,9,TRUE)=0,"",IF(ABS(D705-VLOOKUP($D705,Sheet1!$M$5:$U$192,9,TRUE))&lt;10^-10,"Alt.",D705-VLOOKUP($D705,Sheet1!$M$5:$U$192,9,TRUE)))</f>
        <v>4.957764914824736E-2</v>
      </c>
      <c r="V705" s="132">
        <f>$D705-Sheet1!$M$3*$R705</f>
        <v>-8.542437251545465E-2</v>
      </c>
      <c r="Z705" s="6"/>
      <c r="AA705" s="61"/>
    </row>
    <row r="706" spans="1:27" ht="13.5">
      <c r="A706" t="s">
        <v>453</v>
      </c>
      <c r="B706">
        <v>11776</v>
      </c>
      <c r="C706">
        <v>11907</v>
      </c>
      <c r="D706" s="13">
        <f t="shared" si="14"/>
        <v>19.152469996771369</v>
      </c>
      <c r="E706" s="61">
        <v>23</v>
      </c>
      <c r="F706" s="65">
        <v>44.866803521754363</v>
      </c>
      <c r="G706" s="6">
        <v>321</v>
      </c>
      <c r="H706" s="6">
        <v>291</v>
      </c>
      <c r="I706" s="65">
        <v>3.8207126460516649</v>
      </c>
      <c r="J706" s="6">
        <f>VLOOKUP($D706,Sheet1!$A$5:$C$192,3,TRUE)</f>
        <v>4</v>
      </c>
      <c r="K706" s="42" t="str">
        <f>VLOOKUP($D706,Sheet1!$A$5:$C$192,2,TRUE)</f>
        <v>/|</v>
      </c>
      <c r="L706" s="6">
        <f>FLOOR(VLOOKUP($D706,Sheet1!$D$5:$F$192,3,TRUE),1)</f>
        <v>8</v>
      </c>
      <c r="M706" s="42" t="str">
        <f>VLOOKUP($D706,Sheet1!$D$5:$F$192,2,TRUE)</f>
        <v>)|~</v>
      </c>
      <c r="N706" s="23">
        <f>FLOOR(VLOOKUP($D706,Sheet1!$G$5:$I$192,3,TRUE),1)</f>
        <v>10</v>
      </c>
      <c r="O706" s="42" t="str">
        <f>VLOOKUP($D706,Sheet1!$G$5:$I$192,2,TRUE)</f>
        <v>./|</v>
      </c>
      <c r="P706" s="23">
        <v>1</v>
      </c>
      <c r="Q706" s="43" t="str">
        <f>VLOOKUP($D706,Sheet1!$J$5:$L$192,2,TRUE)</f>
        <v>./|.</v>
      </c>
      <c r="R706" s="23">
        <f>FLOOR(VLOOKUP($D706,Sheet1!$M$5:$O$192,3,TRUE),1)</f>
        <v>39</v>
      </c>
      <c r="S706" s="42" t="str">
        <f>VLOOKUP($D706,Sheet1!$M$5:$O$192,2,TRUE)</f>
        <v>./|.</v>
      </c>
      <c r="T706" s="117">
        <f>IF(ABS(D706-VLOOKUP($D706,Sheet1!$M$5:$T$192,8,TRUE))&lt;10^-10,"SoCA",D706-VLOOKUP($D706,Sheet1!$M$5:$T$192,8,TRUE))</f>
        <v>2.2617353945573626E-2</v>
      </c>
      <c r="U706" s="109">
        <f>IF(VLOOKUP($D706,Sheet1!$M$5:$U$192,9,TRUE)=0,"",IF(ABS(D706-VLOOKUP($D706,Sheet1!$M$5:$U$192,9,TRUE))&lt;10^-10,"Alt.",D706-VLOOKUP($D706,Sheet1!$M$5:$U$192,9,TRUE)))</f>
        <v>-4.3429412568620762E-3</v>
      </c>
      <c r="V706" s="132">
        <f>$D706-Sheet1!$M$3*$R706</f>
        <v>0.12364924033031599</v>
      </c>
      <c r="Z706" s="6"/>
      <c r="AA706" s="61"/>
    </row>
    <row r="707" spans="1:27" ht="13.5">
      <c r="A707" t="s">
        <v>1532</v>
      </c>
      <c r="B707">
        <v>24057</v>
      </c>
      <c r="C707">
        <v>24320</v>
      </c>
      <c r="D707" s="13">
        <f t="shared" si="14"/>
        <v>18.823781574668928</v>
      </c>
      <c r="E707" s="61">
        <v>19</v>
      </c>
      <c r="F707" s="65">
        <v>46.127546340498085</v>
      </c>
      <c r="G707" s="6">
        <v>1438</v>
      </c>
      <c r="H707" s="6">
        <v>1381</v>
      </c>
      <c r="I707" s="65">
        <v>-8.1590488103223713</v>
      </c>
      <c r="J707" s="6">
        <f>VLOOKUP($D707,Sheet1!$A$5:$C$192,3,TRUE)</f>
        <v>4</v>
      </c>
      <c r="K707" s="42" t="str">
        <f>VLOOKUP($D707,Sheet1!$A$5:$C$192,2,TRUE)</f>
        <v>/|</v>
      </c>
      <c r="L707" s="6">
        <f>FLOOR(VLOOKUP($D707,Sheet1!$D$5:$F$192,3,TRUE),1)</f>
        <v>8</v>
      </c>
      <c r="M707" s="42" t="str">
        <f>VLOOKUP($D707,Sheet1!$D$5:$F$192,2,TRUE)</f>
        <v>)|~</v>
      </c>
      <c r="N707" s="23">
        <f>FLOOR(VLOOKUP($D707,Sheet1!$G$5:$I$192,3,TRUE),1)</f>
        <v>10</v>
      </c>
      <c r="O707" s="42" t="str">
        <f>VLOOKUP($D707,Sheet1!$G$5:$I$192,2,TRUE)</f>
        <v>./|</v>
      </c>
      <c r="P707" s="23">
        <v>1</v>
      </c>
      <c r="Q707" s="43" t="str">
        <f>VLOOKUP($D707,Sheet1!$J$5:$L$192,2,TRUE)</f>
        <v>./|.</v>
      </c>
      <c r="R707" s="23">
        <f>FLOOR(VLOOKUP($D707,Sheet1!$M$5:$O$192,3,TRUE),1)</f>
        <v>39</v>
      </c>
      <c r="S707" s="42" t="str">
        <f>VLOOKUP($D707,Sheet1!$M$5:$O$192,2,TRUE)</f>
        <v>'|~'</v>
      </c>
      <c r="T707" s="117">
        <f>IF(ABS(D707-VLOOKUP($D707,Sheet1!$M$5:$T$192,8,TRUE))&lt;10^-10,"SoCA",D707-VLOOKUP($D707,Sheet1!$M$5:$T$192,8,TRUE))</f>
        <v>-9.6997455310859237E-2</v>
      </c>
      <c r="U707" s="109">
        <f>IF(VLOOKUP($D707,Sheet1!$M$5:$U$192,9,TRUE)=0,"",IF(ABS(D707-VLOOKUP($D707,Sheet1!$M$5:$U$192,9,TRUE))&lt;10^-10,"Alt.",D707-VLOOKUP($D707,Sheet1!$M$5:$U$192,9,TRUE)))</f>
        <v>-7.0037160108423535E-2</v>
      </c>
      <c r="V707" s="132">
        <f>$D707-Sheet1!$M$3*$R707</f>
        <v>-0.20503918177212554</v>
      </c>
      <c r="Z707" s="6"/>
      <c r="AA707" s="61"/>
    </row>
    <row r="708" spans="1:27" ht="13.5">
      <c r="A708" s="40" t="s">
        <v>82</v>
      </c>
      <c r="B708" s="40">
        <f>3^3*7^4</f>
        <v>64827</v>
      </c>
      <c r="C708" s="40">
        <f>2^16</f>
        <v>65536</v>
      </c>
      <c r="D708" s="13">
        <f t="shared" ref="D708:D771" si="15">1200*LN($C708/$B708)/LN(2)</f>
        <v>18.831371527337947</v>
      </c>
      <c r="E708" s="61">
        <v>7</v>
      </c>
      <c r="F708" s="65">
        <v>50.643043141765183</v>
      </c>
      <c r="G708" s="6">
        <v>138</v>
      </c>
      <c r="H708" s="6">
        <v>127</v>
      </c>
      <c r="I708" s="65">
        <v>-4.159516151359905</v>
      </c>
      <c r="J708" s="6">
        <f>VLOOKUP($D708,Sheet1!$A$5:$C$192,3,TRUE)</f>
        <v>4</v>
      </c>
      <c r="K708" s="42" t="str">
        <f>VLOOKUP($D708,Sheet1!$A$5:$C$192,2,TRUE)</f>
        <v>/|</v>
      </c>
      <c r="L708" s="6">
        <f>FLOOR(VLOOKUP($D708,Sheet1!$D$5:$F$192,3,TRUE),1)</f>
        <v>8</v>
      </c>
      <c r="M708" s="42" t="str">
        <f>VLOOKUP($D708,Sheet1!$D$5:$F$192,2,TRUE)</f>
        <v>)|~</v>
      </c>
      <c r="N708" s="23">
        <f>FLOOR(VLOOKUP($D708,Sheet1!$G$5:$I$192,3,TRUE),1)</f>
        <v>10</v>
      </c>
      <c r="O708" s="42" t="str">
        <f>VLOOKUP($D708,Sheet1!$G$5:$I$192,2,TRUE)</f>
        <v>./|</v>
      </c>
      <c r="P708" s="23">
        <v>1</v>
      </c>
      <c r="Q708" s="43" t="str">
        <f>VLOOKUP($D708,Sheet1!$J$5:$L$192,2,TRUE)</f>
        <v>./|.</v>
      </c>
      <c r="R708" s="40">
        <f>FLOOR(VLOOKUP($D708,Sheet1!$M$5:$O$192,3,TRUE),1)</f>
        <v>39</v>
      </c>
      <c r="S708" s="46" t="str">
        <f>VLOOKUP($D708,Sheet1!$M$5:$O$192,2,TRUE)</f>
        <v>'|~'</v>
      </c>
      <c r="T708" s="115">
        <f>IF(ABS(D708-VLOOKUP($D708,Sheet1!$M$5:$T$192,8,TRUE))&lt;10^-10,"SoCA",D708-VLOOKUP($D708,Sheet1!$M$5:$T$192,8,TRUE))</f>
        <v>-8.9407502641840608E-2</v>
      </c>
      <c r="U708" s="115">
        <f>IF(VLOOKUP($D708,Sheet1!$M$5:$U$192,9,TRUE)=0,"",IF(ABS(D708-VLOOKUP($D708,Sheet1!$M$5:$U$192,9,TRUE))&lt;10^-10,"Alt.",D708-VLOOKUP($D708,Sheet1!$M$5:$U$192,9,TRUE)))</f>
        <v>-6.2447207439404906E-2</v>
      </c>
      <c r="V708" s="132">
        <f>$D708-Sheet1!$M$3*$R708</f>
        <v>-0.19744922910310692</v>
      </c>
      <c r="Z708" s="6"/>
      <c r="AA708" s="61"/>
    </row>
    <row r="709" spans="1:27" ht="13.5">
      <c r="A709" s="23" t="s">
        <v>586</v>
      </c>
      <c r="B709" s="23">
        <f>7*13</f>
        <v>91</v>
      </c>
      <c r="C709" s="23">
        <f>2^2*23</f>
        <v>92</v>
      </c>
      <c r="D709" s="13">
        <f t="shared" si="15"/>
        <v>18.920779029979858</v>
      </c>
      <c r="E709" s="61">
        <v>23</v>
      </c>
      <c r="F709" s="65">
        <v>51.634091911057389</v>
      </c>
      <c r="G709" s="6">
        <v>485</v>
      </c>
      <c r="H709" s="6">
        <v>431</v>
      </c>
      <c r="I709" s="65">
        <v>-1.1650212970268339</v>
      </c>
      <c r="J709" s="6">
        <f>VLOOKUP($D709,Sheet1!$A$5:$C$192,3,TRUE)</f>
        <v>4</v>
      </c>
      <c r="K709" s="42" t="str">
        <f>VLOOKUP($D709,Sheet1!$A$5:$C$192,2,TRUE)</f>
        <v>/|</v>
      </c>
      <c r="L709" s="6">
        <f>FLOOR(VLOOKUP($D709,Sheet1!$D$5:$F$192,3,TRUE),1)</f>
        <v>8</v>
      </c>
      <c r="M709" s="42" t="str">
        <f>VLOOKUP($D709,Sheet1!$D$5:$F$192,2,TRUE)</f>
        <v>)|~</v>
      </c>
      <c r="N709" s="23">
        <f>FLOOR(VLOOKUP($D709,Sheet1!$G$5:$I$192,3,TRUE),1)</f>
        <v>10</v>
      </c>
      <c r="O709" s="42" t="str">
        <f>VLOOKUP($D709,Sheet1!$G$5:$I$192,2,TRUE)</f>
        <v>./|</v>
      </c>
      <c r="P709" s="23">
        <v>1</v>
      </c>
      <c r="Q709" s="43" t="str">
        <f>VLOOKUP($D709,Sheet1!$J$5:$L$192,2,TRUE)</f>
        <v>./|.</v>
      </c>
      <c r="R709" s="23">
        <f>FLOOR(VLOOKUP($D709,Sheet1!$M$5:$O$192,3,TRUE),1)</f>
        <v>39</v>
      </c>
      <c r="S709" s="43" t="str">
        <f>VLOOKUP($D709,Sheet1!$M$5:$O$192,2,TRUE)</f>
        <v>'|~'</v>
      </c>
      <c r="T709" s="124" t="str">
        <f>IF(ABS(D709-VLOOKUP($D709,Sheet1!$M$5:$T$192,8,TRUE))&lt;10^-10,"SoCA",D709-VLOOKUP($D709,Sheet1!$M$5:$T$192,8,TRUE))</f>
        <v>SoCA</v>
      </c>
      <c r="U709" s="109">
        <f>IF(VLOOKUP($D709,Sheet1!$M$5:$U$192,9,TRUE)=0,"",IF(ABS(D709-VLOOKUP($D709,Sheet1!$M$5:$U$192,9,TRUE))&lt;10^-10,"Alt.",D709-VLOOKUP($D709,Sheet1!$M$5:$U$192,9,TRUE)))</f>
        <v>2.6960295202506757E-2</v>
      </c>
      <c r="V709" s="132">
        <f>$D709-Sheet1!$M$3*$R709</f>
        <v>-0.10804172646119525</v>
      </c>
      <c r="Z709" s="6"/>
      <c r="AA709" s="61"/>
    </row>
    <row r="710" spans="1:27" ht="13.5">
      <c r="A710" t="s">
        <v>1501</v>
      </c>
      <c r="B710">
        <v>7340032</v>
      </c>
      <c r="C710">
        <v>7420491</v>
      </c>
      <c r="D710" s="13">
        <f t="shared" si="15"/>
        <v>18.873957241759133</v>
      </c>
      <c r="E710" s="61">
        <v>29</v>
      </c>
      <c r="F710" s="65">
        <v>66.845122811842089</v>
      </c>
      <c r="G710" s="6">
        <v>1412</v>
      </c>
      <c r="H710" s="6">
        <v>1350</v>
      </c>
      <c r="I710" s="65">
        <v>7.8378616910549779</v>
      </c>
      <c r="J710" s="6">
        <f>VLOOKUP($D710,Sheet1!$A$5:$C$192,3,TRUE)</f>
        <v>4</v>
      </c>
      <c r="K710" s="42" t="str">
        <f>VLOOKUP($D710,Sheet1!$A$5:$C$192,2,TRUE)</f>
        <v>/|</v>
      </c>
      <c r="L710" s="6">
        <f>FLOOR(VLOOKUP($D710,Sheet1!$D$5:$F$192,3,TRUE),1)</f>
        <v>8</v>
      </c>
      <c r="M710" s="42" t="str">
        <f>VLOOKUP($D710,Sheet1!$D$5:$F$192,2,TRUE)</f>
        <v>)|~</v>
      </c>
      <c r="N710" s="23">
        <f>FLOOR(VLOOKUP($D710,Sheet1!$G$5:$I$192,3,TRUE),1)</f>
        <v>10</v>
      </c>
      <c r="O710" s="42" t="str">
        <f>VLOOKUP($D710,Sheet1!$G$5:$I$192,2,TRUE)</f>
        <v>./|</v>
      </c>
      <c r="P710" s="23">
        <v>1</v>
      </c>
      <c r="Q710" s="43" t="str">
        <f>VLOOKUP($D710,Sheet1!$J$5:$L$192,2,TRUE)</f>
        <v>./|.</v>
      </c>
      <c r="R710" s="23">
        <f>FLOOR(VLOOKUP($D710,Sheet1!$M$5:$O$192,3,TRUE),1)</f>
        <v>39</v>
      </c>
      <c r="S710" s="42" t="str">
        <f>VLOOKUP($D710,Sheet1!$M$5:$O$192,2,TRUE)</f>
        <v>'|~'</v>
      </c>
      <c r="T710" s="117">
        <f>IF(ABS(D710-VLOOKUP($D710,Sheet1!$M$5:$T$192,8,TRUE))&lt;10^-10,"SoCA",D710-VLOOKUP($D710,Sheet1!$M$5:$T$192,8,TRUE))</f>
        <v>-4.6821788220654526E-2</v>
      </c>
      <c r="U710" s="109">
        <f>IF(VLOOKUP($D710,Sheet1!$M$5:$U$192,9,TRUE)=0,"",IF(ABS(D710-VLOOKUP($D710,Sheet1!$M$5:$U$192,9,TRUE))&lt;10^-10,"Alt.",D710-VLOOKUP($D710,Sheet1!$M$5:$U$192,9,TRUE)))</f>
        <v>-1.9861493018218823E-2</v>
      </c>
      <c r="V710" s="132">
        <f>$D710-Sheet1!$M$3*$R710</f>
        <v>-0.15486351468192083</v>
      </c>
      <c r="Z710" s="6"/>
      <c r="AA710" s="61"/>
    </row>
    <row r="711" spans="1:27" ht="13.5">
      <c r="A711" t="s">
        <v>800</v>
      </c>
      <c r="B711">
        <v>1184</v>
      </c>
      <c r="C711">
        <v>1197</v>
      </c>
      <c r="D711" s="13">
        <f t="shared" si="15"/>
        <v>18.904885577462782</v>
      </c>
      <c r="E711" s="61">
        <v>37</v>
      </c>
      <c r="F711" s="65">
        <v>75.666702824700252</v>
      </c>
      <c r="G711" s="6">
        <v>680</v>
      </c>
      <c r="H711" s="6">
        <v>646</v>
      </c>
      <c r="I711" s="65">
        <v>0.83595732074764251</v>
      </c>
      <c r="J711" s="6">
        <f>VLOOKUP($D711,Sheet1!$A$5:$C$192,3,TRUE)</f>
        <v>4</v>
      </c>
      <c r="K711" s="42" t="str">
        <f>VLOOKUP($D711,Sheet1!$A$5:$C$192,2,TRUE)</f>
        <v>/|</v>
      </c>
      <c r="L711" s="6">
        <f>FLOOR(VLOOKUP($D711,Sheet1!$D$5:$F$192,3,TRUE),1)</f>
        <v>8</v>
      </c>
      <c r="M711" s="42" t="str">
        <f>VLOOKUP($D711,Sheet1!$D$5:$F$192,2,TRUE)</f>
        <v>)|~</v>
      </c>
      <c r="N711" s="23">
        <f>FLOOR(VLOOKUP($D711,Sheet1!$G$5:$I$192,3,TRUE),1)</f>
        <v>10</v>
      </c>
      <c r="O711" s="42" t="str">
        <f>VLOOKUP($D711,Sheet1!$G$5:$I$192,2,TRUE)</f>
        <v>./|</v>
      </c>
      <c r="P711" s="23">
        <v>1</v>
      </c>
      <c r="Q711" s="43" t="str">
        <f>VLOOKUP($D711,Sheet1!$J$5:$L$192,2,TRUE)</f>
        <v>./|.</v>
      </c>
      <c r="R711" s="23">
        <f>FLOOR(VLOOKUP($D711,Sheet1!$M$5:$O$192,3,TRUE),1)</f>
        <v>39</v>
      </c>
      <c r="S711" s="42" t="str">
        <f>VLOOKUP($D711,Sheet1!$M$5:$O$192,2,TRUE)</f>
        <v>'|~'</v>
      </c>
      <c r="T711" s="117">
        <f>IF(ABS(D711-VLOOKUP($D711,Sheet1!$M$5:$T$192,8,TRUE))&lt;10^-10,"SoCA",D711-VLOOKUP($D711,Sheet1!$M$5:$T$192,8,TRUE))</f>
        <v>-1.5893452517005358E-2</v>
      </c>
      <c r="U711" s="109">
        <f>IF(VLOOKUP($D711,Sheet1!$M$5:$U$192,9,TRUE)=0,"",IF(ABS(D711-VLOOKUP($D711,Sheet1!$M$5:$U$192,9,TRUE))&lt;10^-10,"Alt.",D711-VLOOKUP($D711,Sheet1!$M$5:$U$192,9,TRUE)))</f>
        <v>1.1066842685430345E-2</v>
      </c>
      <c r="V711" s="132">
        <f>$D711-Sheet1!$M$3*$R711</f>
        <v>-0.12393517897827167</v>
      </c>
      <c r="Z711" s="6"/>
      <c r="AA711" s="61"/>
    </row>
    <row r="712" spans="1:27" ht="13.5">
      <c r="A712" s="6" t="s">
        <v>1832</v>
      </c>
      <c r="B712" s="6">
        <f>3^10*7^3</f>
        <v>20253807</v>
      </c>
      <c r="C712" s="6">
        <f>2^15*5^4</f>
        <v>20480000</v>
      </c>
      <c r="D712" s="13">
        <f t="shared" si="15"/>
        <v>19.22712739809025</v>
      </c>
      <c r="E712" s="61">
        <v>7</v>
      </c>
      <c r="F712" s="65">
        <v>84.007137567224106</v>
      </c>
      <c r="G712" s="59">
        <v>1595</v>
      </c>
      <c r="H712" s="63">
        <v>1000037</v>
      </c>
      <c r="I712" s="65">
        <v>-11.18388428213926</v>
      </c>
      <c r="J712" s="6">
        <f>VLOOKUP($D712,Sheet1!$A$5:$C$192,3,TRUE)</f>
        <v>4</v>
      </c>
      <c r="K712" s="42" t="str">
        <f>VLOOKUP($D712,Sheet1!$A$5:$C$192,2,TRUE)</f>
        <v>/|</v>
      </c>
      <c r="L712" s="6">
        <f>FLOOR(VLOOKUP($D712,Sheet1!$D$5:$F$192,3,TRUE),1)</f>
        <v>8</v>
      </c>
      <c r="M712" s="42" t="str">
        <f>VLOOKUP($D712,Sheet1!$D$5:$F$192,2,TRUE)</f>
        <v>)|~</v>
      </c>
      <c r="N712" s="23">
        <f>FLOOR(VLOOKUP($D712,Sheet1!$G$5:$I$192,3,TRUE),1)</f>
        <v>10</v>
      </c>
      <c r="O712" s="42" t="str">
        <f>VLOOKUP($D712,Sheet1!$G$5:$I$192,2,TRUE)</f>
        <v>./|</v>
      </c>
      <c r="P712" s="23">
        <v>1</v>
      </c>
      <c r="Q712" s="43" t="str">
        <f>VLOOKUP($D712,Sheet1!$J$5:$L$192,2,TRUE)</f>
        <v>./|.</v>
      </c>
      <c r="R712" s="23">
        <f>FLOOR(VLOOKUP($D712,Sheet1!$M$5:$O$192,3,TRUE),1)</f>
        <v>39</v>
      </c>
      <c r="S712" s="42" t="str">
        <f>VLOOKUP($D712,Sheet1!$M$5:$O$192,2,TRUE)</f>
        <v>./|.</v>
      </c>
      <c r="T712" s="117">
        <f>IF(ABS(D712-VLOOKUP($D712,Sheet1!$M$5:$T$192,8,TRUE))&lt;10^-10,"SoCA",D712-VLOOKUP($D712,Sheet1!$M$5:$T$192,8,TRUE))</f>
        <v>9.7274755264454171E-2</v>
      </c>
      <c r="U712" s="109">
        <f>IF(VLOOKUP($D712,Sheet1!$M$5:$U$192,9,TRUE)=0,"",IF(ABS(D712-VLOOKUP($D712,Sheet1!$M$5:$U$192,9,TRUE))&lt;10^-10,"Alt.",D712-VLOOKUP($D712,Sheet1!$M$5:$U$192,9,TRUE)))</f>
        <v>7.0314460062018469E-2</v>
      </c>
      <c r="V712" s="132">
        <f>$D712-Sheet1!$M$3*$R712</f>
        <v>0.19830664164919654</v>
      </c>
      <c r="Z712" s="6"/>
      <c r="AA712" s="61"/>
    </row>
    <row r="713" spans="1:27" ht="13.5">
      <c r="A713" s="6" t="s">
        <v>916</v>
      </c>
      <c r="B713" s="6">
        <f>5^6*7</f>
        <v>109375</v>
      </c>
      <c r="C713" s="6">
        <f>2^12*3^3</f>
        <v>110592</v>
      </c>
      <c r="D713" s="13">
        <f t="shared" si="15"/>
        <v>19.156812938028356</v>
      </c>
      <c r="E713" s="61">
        <v>7</v>
      </c>
      <c r="F713" s="65">
        <v>88.916694255197612</v>
      </c>
      <c r="G713" s="6">
        <v>824</v>
      </c>
      <c r="H713" s="6">
        <v>764</v>
      </c>
      <c r="I713" s="65">
        <v>1.8204452353362757</v>
      </c>
      <c r="J713" s="6">
        <f>VLOOKUP($D713,Sheet1!$A$5:$C$192,3,TRUE)</f>
        <v>4</v>
      </c>
      <c r="K713" s="42" t="str">
        <f>VLOOKUP($D713,Sheet1!$A$5:$C$192,2,TRUE)</f>
        <v>/|</v>
      </c>
      <c r="L713" s="6">
        <f>FLOOR(VLOOKUP($D713,Sheet1!$D$5:$F$192,3,TRUE),1)</f>
        <v>8</v>
      </c>
      <c r="M713" s="42" t="str">
        <f>VLOOKUP($D713,Sheet1!$D$5:$F$192,2,TRUE)</f>
        <v>)|~</v>
      </c>
      <c r="N713" s="23">
        <f>FLOOR(VLOOKUP($D713,Sheet1!$G$5:$I$192,3,TRUE),1)</f>
        <v>10</v>
      </c>
      <c r="O713" s="42" t="str">
        <f>VLOOKUP($D713,Sheet1!$G$5:$I$192,2,TRUE)</f>
        <v>./|</v>
      </c>
      <c r="P713" s="23">
        <v>1</v>
      </c>
      <c r="Q713" s="43" t="str">
        <f>VLOOKUP($D713,Sheet1!$J$5:$L$192,2,TRUE)</f>
        <v>./|.</v>
      </c>
      <c r="R713" s="23">
        <f>FLOOR(VLOOKUP($D713,Sheet1!$M$5:$O$192,3,TRUE),1)</f>
        <v>39</v>
      </c>
      <c r="S713" s="42" t="str">
        <f>VLOOKUP($D713,Sheet1!$M$5:$O$192,2,TRUE)</f>
        <v>./|.</v>
      </c>
      <c r="T713" s="117">
        <f>IF(ABS(D713-VLOOKUP($D713,Sheet1!$M$5:$T$192,8,TRUE))&lt;10^-10,"SoCA",D713-VLOOKUP($D713,Sheet1!$M$5:$T$192,8,TRUE))</f>
        <v>2.6960295202560047E-2</v>
      </c>
      <c r="U713" s="125" t="str">
        <f>IF(VLOOKUP($D713,Sheet1!$M$5:$U$192,9,TRUE)=0,"",IF(ABS(D713-VLOOKUP($D713,Sheet1!$M$5:$U$192,9,TRUE))&lt;10^-10,"Alt.",D713-VLOOKUP($D713,Sheet1!$M$5:$U$192,9,TRUE)))</f>
        <v>Alt.</v>
      </c>
      <c r="V713" s="132">
        <f>$D713-Sheet1!$M$3*$R713</f>
        <v>0.12799218158730241</v>
      </c>
      <c r="Z713" s="6"/>
      <c r="AA713" s="61"/>
    </row>
    <row r="714" spans="1:27" ht="13.5">
      <c r="A714" t="s">
        <v>1397</v>
      </c>
      <c r="B714">
        <v>499712</v>
      </c>
      <c r="C714">
        <v>505197</v>
      </c>
      <c r="D714" s="13">
        <f t="shared" si="15"/>
        <v>18.899050681517462</v>
      </c>
      <c r="E714" s="61" t="s">
        <v>1931</v>
      </c>
      <c r="F714" s="65">
        <v>99.294374738281221</v>
      </c>
      <c r="G714" s="6">
        <v>1311</v>
      </c>
      <c r="H714" s="6">
        <v>1246</v>
      </c>
      <c r="I714" s="65">
        <v>6.836316596548679</v>
      </c>
      <c r="J714" s="6">
        <f>VLOOKUP($D714,Sheet1!$A$5:$C$192,3,TRUE)</f>
        <v>4</v>
      </c>
      <c r="K714" s="42" t="str">
        <f>VLOOKUP($D714,Sheet1!$A$5:$C$192,2,TRUE)</f>
        <v>/|</v>
      </c>
      <c r="L714" s="6">
        <f>FLOOR(VLOOKUP($D714,Sheet1!$D$5:$F$192,3,TRUE),1)</f>
        <v>8</v>
      </c>
      <c r="M714" s="42" t="str">
        <f>VLOOKUP($D714,Sheet1!$D$5:$F$192,2,TRUE)</f>
        <v>)|~</v>
      </c>
      <c r="N714" s="23">
        <f>FLOOR(VLOOKUP($D714,Sheet1!$G$5:$I$192,3,TRUE),1)</f>
        <v>10</v>
      </c>
      <c r="O714" s="42" t="str">
        <f>VLOOKUP($D714,Sheet1!$G$5:$I$192,2,TRUE)</f>
        <v>./|</v>
      </c>
      <c r="P714" s="23">
        <v>1</v>
      </c>
      <c r="Q714" s="43" t="str">
        <f>VLOOKUP($D714,Sheet1!$J$5:$L$192,2,TRUE)</f>
        <v>./|.</v>
      </c>
      <c r="R714" s="23">
        <f>FLOOR(VLOOKUP($D714,Sheet1!$M$5:$O$192,3,TRUE),1)</f>
        <v>39</v>
      </c>
      <c r="S714" s="42" t="str">
        <f>VLOOKUP($D714,Sheet1!$M$5:$O$192,2,TRUE)</f>
        <v>'|~'</v>
      </c>
      <c r="T714" s="117">
        <f>IF(ABS(D714-VLOOKUP($D714,Sheet1!$M$5:$T$192,8,TRUE))&lt;10^-10,"SoCA",D714-VLOOKUP($D714,Sheet1!$M$5:$T$192,8,TRUE))</f>
        <v>-2.1728348462325187E-2</v>
      </c>
      <c r="U714" s="109">
        <f>IF(VLOOKUP($D714,Sheet1!$M$5:$U$192,9,TRUE)=0,"",IF(ABS(D714-VLOOKUP($D714,Sheet1!$M$5:$U$192,9,TRUE))&lt;10^-10,"Alt.",D714-VLOOKUP($D714,Sheet1!$M$5:$U$192,9,TRUE)))</f>
        <v>5.2319467401105157E-3</v>
      </c>
      <c r="V714" s="132">
        <f>$D714-Sheet1!$M$3*$R714</f>
        <v>-0.12977007492359149</v>
      </c>
      <c r="Z714" s="6"/>
      <c r="AA714" s="61"/>
    </row>
    <row r="715" spans="1:27" ht="13.5">
      <c r="A715" t="s">
        <v>663</v>
      </c>
      <c r="B715">
        <v>655360</v>
      </c>
      <c r="C715">
        <v>662661</v>
      </c>
      <c r="D715" s="13">
        <f t="shared" si="15"/>
        <v>19.180072360418361</v>
      </c>
      <c r="E715" s="61" t="s">
        <v>1931</v>
      </c>
      <c r="F715" s="65">
        <v>110.77097934493568</v>
      </c>
      <c r="G715" s="6">
        <v>500</v>
      </c>
      <c r="H715" s="6">
        <v>508</v>
      </c>
      <c r="I715" s="65">
        <v>6.8190130679610341</v>
      </c>
      <c r="J715" s="6">
        <f>VLOOKUP($D715,Sheet1!$A$5:$C$192,3,TRUE)</f>
        <v>4</v>
      </c>
      <c r="K715" s="42" t="str">
        <f>VLOOKUP($D715,Sheet1!$A$5:$C$192,2,TRUE)</f>
        <v>/|</v>
      </c>
      <c r="L715" s="6">
        <f>FLOOR(VLOOKUP($D715,Sheet1!$D$5:$F$192,3,TRUE),1)</f>
        <v>8</v>
      </c>
      <c r="M715" s="42" t="str">
        <f>VLOOKUP($D715,Sheet1!$D$5:$F$192,2,TRUE)</f>
        <v>)|~</v>
      </c>
      <c r="N715" s="23">
        <f>FLOOR(VLOOKUP($D715,Sheet1!$G$5:$I$192,3,TRUE),1)</f>
        <v>10</v>
      </c>
      <c r="O715" s="42" t="str">
        <f>VLOOKUP($D715,Sheet1!$G$5:$I$192,2,TRUE)</f>
        <v>./|</v>
      </c>
      <c r="P715" s="23">
        <v>1</v>
      </c>
      <c r="Q715" s="43" t="str">
        <f>VLOOKUP($D715,Sheet1!$J$5:$L$192,2,TRUE)</f>
        <v>./|.</v>
      </c>
      <c r="R715" s="23">
        <f>FLOOR(VLOOKUP($D715,Sheet1!$M$5:$O$192,3,TRUE),1)</f>
        <v>39</v>
      </c>
      <c r="S715" s="42" t="str">
        <f>VLOOKUP($D715,Sheet1!$M$5:$O$192,2,TRUE)</f>
        <v>./|.</v>
      </c>
      <c r="T715" s="117">
        <f>IF(ABS(D715-VLOOKUP($D715,Sheet1!$M$5:$T$192,8,TRUE))&lt;10^-10,"SoCA",D715-VLOOKUP($D715,Sheet1!$M$5:$T$192,8,TRUE))</f>
        <v>5.0219717592565161E-2</v>
      </c>
      <c r="U715" s="109">
        <f>IF(VLOOKUP($D715,Sheet1!$M$5:$U$192,9,TRUE)=0,"",IF(ABS(D715-VLOOKUP($D715,Sheet1!$M$5:$U$192,9,TRUE))&lt;10^-10,"Alt.",D715-VLOOKUP($D715,Sheet1!$M$5:$U$192,9,TRUE)))</f>
        <v>2.3259422390129458E-2</v>
      </c>
      <c r="V715" s="132">
        <f>$D715-Sheet1!$M$3*$R715</f>
        <v>0.15125160397730752</v>
      </c>
      <c r="Z715" s="6"/>
      <c r="AA715" s="61"/>
    </row>
    <row r="716" spans="1:27" ht="13.5">
      <c r="A716" t="s">
        <v>798</v>
      </c>
      <c r="B716">
        <v>632</v>
      </c>
      <c r="C716">
        <v>639</v>
      </c>
      <c r="D716" s="13">
        <f t="shared" si="15"/>
        <v>19.069647323869905</v>
      </c>
      <c r="E716" s="61" t="s">
        <v>1931</v>
      </c>
      <c r="F716" s="65">
        <v>150.08010336306984</v>
      </c>
      <c r="G716" s="6">
        <v>678</v>
      </c>
      <c r="H716" s="6">
        <v>644</v>
      </c>
      <c r="I716" s="65">
        <v>0.82581233976163304</v>
      </c>
      <c r="J716" s="6">
        <f>VLOOKUP($D716,Sheet1!$A$5:$C$192,3,TRUE)</f>
        <v>4</v>
      </c>
      <c r="K716" s="42" t="str">
        <f>VLOOKUP($D716,Sheet1!$A$5:$C$192,2,TRUE)</f>
        <v>/|</v>
      </c>
      <c r="L716" s="6">
        <f>FLOOR(VLOOKUP($D716,Sheet1!$D$5:$F$192,3,TRUE),1)</f>
        <v>8</v>
      </c>
      <c r="M716" s="42" t="str">
        <f>VLOOKUP($D716,Sheet1!$D$5:$F$192,2,TRUE)</f>
        <v>)|~</v>
      </c>
      <c r="N716" s="23">
        <f>FLOOR(VLOOKUP($D716,Sheet1!$G$5:$I$192,3,TRUE),1)</f>
        <v>10</v>
      </c>
      <c r="O716" s="42" t="str">
        <f>VLOOKUP($D716,Sheet1!$G$5:$I$192,2,TRUE)</f>
        <v>./|</v>
      </c>
      <c r="P716" s="23">
        <v>1</v>
      </c>
      <c r="Q716" s="43" t="str">
        <f>VLOOKUP($D716,Sheet1!$J$5:$L$192,2,TRUE)</f>
        <v>./|.</v>
      </c>
      <c r="R716" s="23">
        <f>FLOOR(VLOOKUP($D716,Sheet1!$M$5:$O$192,3,TRUE),1)</f>
        <v>39</v>
      </c>
      <c r="S716" s="42" t="str">
        <f>VLOOKUP($D716,Sheet1!$M$5:$O$192,2,TRUE)</f>
        <v>./|.</v>
      </c>
      <c r="T716" s="117">
        <f>IF(ABS(D716-VLOOKUP($D716,Sheet1!$M$5:$T$192,8,TRUE))&lt;10^-10,"SoCA",D716-VLOOKUP($D716,Sheet1!$M$5:$T$192,8,TRUE))</f>
        <v>-6.0205318955890874E-2</v>
      </c>
      <c r="U716" s="109">
        <f>IF(VLOOKUP($D716,Sheet1!$M$5:$U$192,9,TRUE)=0,"",IF(ABS(D716-VLOOKUP($D716,Sheet1!$M$5:$U$192,9,TRUE))&lt;10^-10,"Alt.",D716-VLOOKUP($D716,Sheet1!$M$5:$U$192,9,TRUE)))</f>
        <v>-8.7165614158326576E-2</v>
      </c>
      <c r="V716" s="132">
        <f>$D716-Sheet1!$M$3*$R716</f>
        <v>4.082656742885149E-2</v>
      </c>
      <c r="Z716" s="6"/>
      <c r="AA716" s="61"/>
    </row>
    <row r="717" spans="1:27" ht="13.5">
      <c r="A717" t="s">
        <v>738</v>
      </c>
      <c r="B717">
        <v>448</v>
      </c>
      <c r="C717">
        <v>453</v>
      </c>
      <c r="D717" s="13">
        <f t="shared" si="15"/>
        <v>19.214781586357017</v>
      </c>
      <c r="E717" s="61" t="s">
        <v>1931</v>
      </c>
      <c r="F717" s="65">
        <v>158.04395219489751</v>
      </c>
      <c r="G717" s="6">
        <v>649</v>
      </c>
      <c r="H717" s="6">
        <v>583</v>
      </c>
      <c r="I717" s="65">
        <v>-0.18312410553260405</v>
      </c>
      <c r="J717" s="6">
        <f>VLOOKUP($D717,Sheet1!$A$5:$C$192,3,TRUE)</f>
        <v>4</v>
      </c>
      <c r="K717" s="42" t="str">
        <f>VLOOKUP($D717,Sheet1!$A$5:$C$192,2,TRUE)</f>
        <v>/|</v>
      </c>
      <c r="L717" s="6">
        <f>FLOOR(VLOOKUP($D717,Sheet1!$D$5:$F$192,3,TRUE),1)</f>
        <v>8</v>
      </c>
      <c r="M717" s="42" t="str">
        <f>VLOOKUP($D717,Sheet1!$D$5:$F$192,2,TRUE)</f>
        <v>)|~</v>
      </c>
      <c r="N717" s="23">
        <f>FLOOR(VLOOKUP($D717,Sheet1!$G$5:$I$192,3,TRUE),1)</f>
        <v>10</v>
      </c>
      <c r="O717" s="42" t="str">
        <f>VLOOKUP($D717,Sheet1!$G$5:$I$192,2,TRUE)</f>
        <v>./|</v>
      </c>
      <c r="P717" s="23">
        <v>1</v>
      </c>
      <c r="Q717" s="43" t="str">
        <f>VLOOKUP($D717,Sheet1!$J$5:$L$192,2,TRUE)</f>
        <v>./|.</v>
      </c>
      <c r="R717" s="23">
        <f>FLOOR(VLOOKUP($D717,Sheet1!$M$5:$O$192,3,TRUE),1)</f>
        <v>39</v>
      </c>
      <c r="S717" s="42" t="str">
        <f>VLOOKUP($D717,Sheet1!$M$5:$O$192,2,TRUE)</f>
        <v>./|.</v>
      </c>
      <c r="T717" s="117">
        <f>IF(ABS(D717-VLOOKUP($D717,Sheet1!$M$5:$T$192,8,TRUE))&lt;10^-10,"SoCA",D717-VLOOKUP($D717,Sheet1!$M$5:$T$192,8,TRUE))</f>
        <v>8.4928943531220824E-2</v>
      </c>
      <c r="U717" s="109">
        <f>IF(VLOOKUP($D717,Sheet1!$M$5:$U$192,9,TRUE)=0,"",IF(ABS(D717-VLOOKUP($D717,Sheet1!$M$5:$U$192,9,TRUE))&lt;10^-10,"Alt.",D717-VLOOKUP($D717,Sheet1!$M$5:$U$192,9,TRUE)))</f>
        <v>5.7968648328785122E-2</v>
      </c>
      <c r="V717" s="132">
        <f>$D717-Sheet1!$M$3*$R717</f>
        <v>0.18596082991596319</v>
      </c>
      <c r="Z717" s="6"/>
      <c r="AA717" s="61"/>
    </row>
    <row r="718" spans="1:27" ht="13.5">
      <c r="A718" t="s">
        <v>1433</v>
      </c>
      <c r="B718">
        <v>66339</v>
      </c>
      <c r="C718">
        <v>67072</v>
      </c>
      <c r="D718" s="13">
        <f t="shared" si="15"/>
        <v>19.024028414180442</v>
      </c>
      <c r="E718" s="61" t="s">
        <v>1931</v>
      </c>
      <c r="F718" s="65">
        <v>184.09212579632811</v>
      </c>
      <c r="G718" s="6">
        <v>1349</v>
      </c>
      <c r="H718" s="6">
        <v>1282</v>
      </c>
      <c r="I718" s="65">
        <v>-7.1713787377700502</v>
      </c>
      <c r="J718" s="6">
        <f>VLOOKUP($D718,Sheet1!$A$5:$C$192,3,TRUE)</f>
        <v>4</v>
      </c>
      <c r="K718" s="42" t="str">
        <f>VLOOKUP($D718,Sheet1!$A$5:$C$192,2,TRUE)</f>
        <v>/|</v>
      </c>
      <c r="L718" s="6">
        <f>FLOOR(VLOOKUP($D718,Sheet1!$D$5:$F$192,3,TRUE),1)</f>
        <v>8</v>
      </c>
      <c r="M718" s="42" t="str">
        <f>VLOOKUP($D718,Sheet1!$D$5:$F$192,2,TRUE)</f>
        <v>)|~</v>
      </c>
      <c r="N718" s="23">
        <f>FLOOR(VLOOKUP($D718,Sheet1!$G$5:$I$192,3,TRUE),1)</f>
        <v>10</v>
      </c>
      <c r="O718" s="42" t="str">
        <f>VLOOKUP($D718,Sheet1!$G$5:$I$192,2,TRUE)</f>
        <v>./|</v>
      </c>
      <c r="P718" s="23">
        <v>1</v>
      </c>
      <c r="Q718" s="43" t="str">
        <f>VLOOKUP($D718,Sheet1!$J$5:$L$192,2,TRUE)</f>
        <v>./|.</v>
      </c>
      <c r="R718" s="23">
        <f>FLOOR(VLOOKUP($D718,Sheet1!$M$5:$O$192,3,TRUE),1)</f>
        <v>39</v>
      </c>
      <c r="S718" s="42" t="str">
        <f>VLOOKUP($D718,Sheet1!$M$5:$O$192,2,TRUE)</f>
        <v>./|.</v>
      </c>
      <c r="T718" s="117">
        <f>IF(ABS(D718-VLOOKUP($D718,Sheet1!$M$5:$T$192,8,TRUE))&lt;10^-10,"SoCA",D718-VLOOKUP($D718,Sheet1!$M$5:$T$192,8,TRUE))</f>
        <v>-0.10582422864535346</v>
      </c>
      <c r="U718" s="109">
        <f>IF(VLOOKUP($D718,Sheet1!$M$5:$U$192,9,TRUE)=0,"",IF(ABS(D718-VLOOKUP($D718,Sheet1!$M$5:$U$192,9,TRUE))&lt;10^-10,"Alt.",D718-VLOOKUP($D718,Sheet1!$M$5:$U$192,9,TRUE)))</f>
        <v>-0.13278452384778916</v>
      </c>
      <c r="V718" s="132">
        <f>$D718-Sheet1!$M$3*$R718</f>
        <v>-4.7923422606110933E-3</v>
      </c>
      <c r="Z718" s="6"/>
      <c r="AA718" s="61"/>
    </row>
    <row r="719" spans="1:27" ht="13.5">
      <c r="A719" t="s">
        <v>1720</v>
      </c>
      <c r="B719">
        <v>8585216</v>
      </c>
      <c r="C719">
        <v>8680203</v>
      </c>
      <c r="D719" s="13">
        <f t="shared" si="15"/>
        <v>19.049220612570938</v>
      </c>
      <c r="E719" s="61" t="s">
        <v>1931</v>
      </c>
      <c r="F719" s="65">
        <v>214.75077730518512</v>
      </c>
      <c r="G719" s="6">
        <v>1622</v>
      </c>
      <c r="H719" s="6">
        <v>1569</v>
      </c>
      <c r="I719" s="65">
        <v>9.8270700867948708</v>
      </c>
      <c r="J719" s="6">
        <f>VLOOKUP($D719,Sheet1!$A$5:$C$192,3,TRUE)</f>
        <v>4</v>
      </c>
      <c r="K719" s="42" t="str">
        <f>VLOOKUP($D719,Sheet1!$A$5:$C$192,2,TRUE)</f>
        <v>/|</v>
      </c>
      <c r="L719" s="6">
        <f>FLOOR(VLOOKUP($D719,Sheet1!$D$5:$F$192,3,TRUE),1)</f>
        <v>8</v>
      </c>
      <c r="M719" s="42" t="str">
        <f>VLOOKUP($D719,Sheet1!$D$5:$F$192,2,TRUE)</f>
        <v>)|~</v>
      </c>
      <c r="N719" s="23">
        <f>FLOOR(VLOOKUP($D719,Sheet1!$G$5:$I$192,3,TRUE),1)</f>
        <v>10</v>
      </c>
      <c r="O719" s="42" t="str">
        <f>VLOOKUP($D719,Sheet1!$G$5:$I$192,2,TRUE)</f>
        <v>./|</v>
      </c>
      <c r="P719" s="23">
        <v>1</v>
      </c>
      <c r="Q719" s="43" t="str">
        <f>VLOOKUP($D719,Sheet1!$J$5:$L$192,2,TRUE)</f>
        <v>./|.</v>
      </c>
      <c r="R719" s="23">
        <f>FLOOR(VLOOKUP($D719,Sheet1!$M$5:$O$192,3,TRUE),1)</f>
        <v>39</v>
      </c>
      <c r="S719" s="42" t="str">
        <f>VLOOKUP($D719,Sheet1!$M$5:$O$192,2,TRUE)</f>
        <v>./|.</v>
      </c>
      <c r="T719" s="117">
        <f>IF(ABS(D719-VLOOKUP($D719,Sheet1!$M$5:$T$192,8,TRUE))&lt;10^-10,"SoCA",D719-VLOOKUP($D719,Sheet1!$M$5:$T$192,8,TRUE))</f>
        <v>-8.0632030254857767E-2</v>
      </c>
      <c r="U719" s="109">
        <f>IF(VLOOKUP($D719,Sheet1!$M$5:$U$192,9,TRUE)=0,"",IF(ABS(D719-VLOOKUP($D719,Sheet1!$M$5:$U$192,9,TRUE))&lt;10^-10,"Alt.",D719-VLOOKUP($D719,Sheet1!$M$5:$U$192,9,TRUE)))</f>
        <v>-0.10759232545729347</v>
      </c>
      <c r="V719" s="132">
        <f>$D719-Sheet1!$M$3*$R719</f>
        <v>2.0399856129884597E-2</v>
      </c>
      <c r="Z719" s="6"/>
      <c r="AA719" s="61"/>
    </row>
    <row r="720" spans="1:27" ht="13.5">
      <c r="A720" t="s">
        <v>1719</v>
      </c>
      <c r="B720">
        <v>34865152</v>
      </c>
      <c r="C720">
        <v>35252253</v>
      </c>
      <c r="D720" s="13">
        <f t="shared" si="15"/>
        <v>19.115631570212535</v>
      </c>
      <c r="E720" s="61" t="s">
        <v>1931</v>
      </c>
      <c r="F720" s="65">
        <v>314.26042755237665</v>
      </c>
      <c r="G720" s="6">
        <v>1620</v>
      </c>
      <c r="H720" s="6">
        <v>1568</v>
      </c>
      <c r="I720" s="65">
        <v>9.8229809221845876</v>
      </c>
      <c r="J720" s="6">
        <f>VLOOKUP($D720,Sheet1!$A$5:$C$192,3,TRUE)</f>
        <v>4</v>
      </c>
      <c r="K720" s="42" t="str">
        <f>VLOOKUP($D720,Sheet1!$A$5:$C$192,2,TRUE)</f>
        <v>/|</v>
      </c>
      <c r="L720" s="6">
        <f>FLOOR(VLOOKUP($D720,Sheet1!$D$5:$F$192,3,TRUE),1)</f>
        <v>8</v>
      </c>
      <c r="M720" s="42" t="str">
        <f>VLOOKUP($D720,Sheet1!$D$5:$F$192,2,TRUE)</f>
        <v>)|~</v>
      </c>
      <c r="N720" s="23">
        <f>FLOOR(VLOOKUP($D720,Sheet1!$G$5:$I$192,3,TRUE),1)</f>
        <v>10</v>
      </c>
      <c r="O720" s="42" t="str">
        <f>VLOOKUP($D720,Sheet1!$G$5:$I$192,2,TRUE)</f>
        <v>./|</v>
      </c>
      <c r="P720" s="23">
        <v>1</v>
      </c>
      <c r="Q720" s="43" t="str">
        <f>VLOOKUP($D720,Sheet1!$J$5:$L$192,2,TRUE)</f>
        <v>./|.</v>
      </c>
      <c r="R720" s="23">
        <f>FLOOR(VLOOKUP($D720,Sheet1!$M$5:$O$192,3,TRUE),1)</f>
        <v>39</v>
      </c>
      <c r="S720" s="42" t="str">
        <f>VLOOKUP($D720,Sheet1!$M$5:$O$192,2,TRUE)</f>
        <v>./|.</v>
      </c>
      <c r="T720" s="117">
        <f>IF(ABS(D720-VLOOKUP($D720,Sheet1!$M$5:$T$192,8,TRUE))&lt;10^-10,"SoCA",D720-VLOOKUP($D720,Sheet1!$M$5:$T$192,8,TRUE))</f>
        <v>-1.4221072613260333E-2</v>
      </c>
      <c r="U720" s="109">
        <f>IF(VLOOKUP($D720,Sheet1!$M$5:$U$192,9,TRUE)=0,"",IF(ABS(D720-VLOOKUP($D720,Sheet1!$M$5:$U$192,9,TRUE))&lt;10^-10,"Alt.",D720-VLOOKUP($D720,Sheet1!$M$5:$U$192,9,TRUE)))</f>
        <v>-4.1181367815696035E-2</v>
      </c>
      <c r="V720" s="132">
        <f>$D720-Sheet1!$M$3*$R720</f>
        <v>8.6810813771482032E-2</v>
      </c>
      <c r="Z720" s="6"/>
      <c r="AA720" s="61"/>
    </row>
    <row r="721" spans="1:27" ht="13.5">
      <c r="A721" t="s">
        <v>1606</v>
      </c>
      <c r="B721">
        <v>327680000</v>
      </c>
      <c r="C721">
        <v>331323939</v>
      </c>
      <c r="D721" s="13">
        <f t="shared" si="15"/>
        <v>19.145790158631737</v>
      </c>
      <c r="E721" s="61" t="s">
        <v>1931</v>
      </c>
      <c r="F721" s="65">
        <v>347.04532972884829</v>
      </c>
      <c r="G721" s="6">
        <v>1512</v>
      </c>
      <c r="H721" s="6">
        <v>1455</v>
      </c>
      <c r="I721" s="65">
        <v>8.8211239480218975</v>
      </c>
      <c r="J721" s="6">
        <f>VLOOKUP($D721,Sheet1!$A$5:$C$192,3,TRUE)</f>
        <v>4</v>
      </c>
      <c r="K721" s="42" t="str">
        <f>VLOOKUP($D721,Sheet1!$A$5:$C$192,2,TRUE)</f>
        <v>/|</v>
      </c>
      <c r="L721" s="6">
        <f>FLOOR(VLOOKUP($D721,Sheet1!$D$5:$F$192,3,TRUE),1)</f>
        <v>8</v>
      </c>
      <c r="M721" s="42" t="str">
        <f>VLOOKUP($D721,Sheet1!$D$5:$F$192,2,TRUE)</f>
        <v>)|~</v>
      </c>
      <c r="N721" s="23">
        <f>FLOOR(VLOOKUP($D721,Sheet1!$G$5:$I$192,3,TRUE),1)</f>
        <v>10</v>
      </c>
      <c r="O721" s="42" t="str">
        <f>VLOOKUP($D721,Sheet1!$G$5:$I$192,2,TRUE)</f>
        <v>./|</v>
      </c>
      <c r="P721" s="23">
        <v>1</v>
      </c>
      <c r="Q721" s="43" t="str">
        <f>VLOOKUP($D721,Sheet1!$J$5:$L$192,2,TRUE)</f>
        <v>./|.</v>
      </c>
      <c r="R721" s="23">
        <f>FLOOR(VLOOKUP($D721,Sheet1!$M$5:$O$192,3,TRUE),1)</f>
        <v>39</v>
      </c>
      <c r="S721" s="42" t="str">
        <f>VLOOKUP($D721,Sheet1!$M$5:$O$192,2,TRUE)</f>
        <v>./|.</v>
      </c>
      <c r="T721" s="117">
        <f>IF(ABS(D721-VLOOKUP($D721,Sheet1!$M$5:$T$192,8,TRUE))&lt;10^-10,"SoCA",D721-VLOOKUP($D721,Sheet1!$M$5:$T$192,8,TRUE))</f>
        <v>1.593751580594116E-2</v>
      </c>
      <c r="U721" s="109">
        <f>IF(VLOOKUP($D721,Sheet1!$M$5:$U$192,9,TRUE)=0,"",IF(ABS(D721-VLOOKUP($D721,Sheet1!$M$5:$U$192,9,TRUE))&lt;10^-10,"Alt.",D721-VLOOKUP($D721,Sheet1!$M$5:$U$192,9,TRUE)))</f>
        <v>-1.1022779396494542E-2</v>
      </c>
      <c r="V721" s="132">
        <f>$D721-Sheet1!$M$3*$R721</f>
        <v>0.11696940219068352</v>
      </c>
      <c r="Z721" s="6"/>
      <c r="AA721" s="61"/>
    </row>
    <row r="722" spans="1:27" ht="13.5">
      <c r="A722" t="s">
        <v>1611</v>
      </c>
      <c r="B722">
        <v>32768000000</v>
      </c>
      <c r="C722">
        <v>33126548049</v>
      </c>
      <c r="D722" s="13">
        <f t="shared" si="15"/>
        <v>18.840305765867662</v>
      </c>
      <c r="E722" s="61" t="s">
        <v>1931</v>
      </c>
      <c r="F722" s="65">
        <v>18427.078712638788</v>
      </c>
      <c r="G722" s="6">
        <v>1517</v>
      </c>
      <c r="H722" s="6">
        <v>1460</v>
      </c>
      <c r="I722" s="65">
        <v>8.8399337350246174</v>
      </c>
      <c r="J722" s="6">
        <f>VLOOKUP($D722,Sheet1!$A$5:$C$192,3,TRUE)</f>
        <v>4</v>
      </c>
      <c r="K722" s="42" t="str">
        <f>VLOOKUP($D722,Sheet1!$A$5:$C$192,2,TRUE)</f>
        <v>/|</v>
      </c>
      <c r="L722" s="6">
        <f>FLOOR(VLOOKUP($D722,Sheet1!$D$5:$F$192,3,TRUE),1)</f>
        <v>8</v>
      </c>
      <c r="M722" s="42" t="str">
        <f>VLOOKUP($D722,Sheet1!$D$5:$F$192,2,TRUE)</f>
        <v>)|~</v>
      </c>
      <c r="N722" s="23">
        <f>FLOOR(VLOOKUP($D722,Sheet1!$G$5:$I$192,3,TRUE),1)</f>
        <v>10</v>
      </c>
      <c r="O722" s="42" t="str">
        <f>VLOOKUP($D722,Sheet1!$G$5:$I$192,2,TRUE)</f>
        <v>./|</v>
      </c>
      <c r="P722" s="23">
        <v>1</v>
      </c>
      <c r="Q722" s="43" t="str">
        <f>VLOOKUP($D722,Sheet1!$J$5:$L$192,2,TRUE)</f>
        <v>./|.</v>
      </c>
      <c r="R722" s="23">
        <f>FLOOR(VLOOKUP($D722,Sheet1!$M$5:$O$192,3,TRUE),1)</f>
        <v>39</v>
      </c>
      <c r="S722" s="42" t="str">
        <f>VLOOKUP($D722,Sheet1!$M$5:$O$192,2,TRUE)</f>
        <v>'|~'</v>
      </c>
      <c r="T722" s="117">
        <f>IF(ABS(D722-VLOOKUP($D722,Sheet1!$M$5:$T$192,8,TRUE))&lt;10^-10,"SoCA",D722-VLOOKUP($D722,Sheet1!$M$5:$T$192,8,TRUE))</f>
        <v>-8.047326411212552E-2</v>
      </c>
      <c r="U722" s="109">
        <f>IF(VLOOKUP($D722,Sheet1!$M$5:$U$192,9,TRUE)=0,"",IF(ABS(D722-VLOOKUP($D722,Sheet1!$M$5:$U$192,9,TRUE))&lt;10^-10,"Alt.",D722-VLOOKUP($D722,Sheet1!$M$5:$U$192,9,TRUE)))</f>
        <v>-5.3512968909689818E-2</v>
      </c>
      <c r="V722" s="132">
        <f>$D722-Sheet1!$M$3*$R722</f>
        <v>-0.18851499057339183</v>
      </c>
      <c r="Z722" s="6"/>
      <c r="AA722" s="61"/>
    </row>
    <row r="723" spans="1:27" ht="13.5">
      <c r="A723" t="s">
        <v>1607</v>
      </c>
      <c r="B723">
        <v>102805864448</v>
      </c>
      <c r="C723">
        <v>103944486141</v>
      </c>
      <c r="D723" s="13">
        <f t="shared" si="15"/>
        <v>19.068800294068176</v>
      </c>
      <c r="E723" s="61" t="s">
        <v>1931</v>
      </c>
      <c r="F723" s="65">
        <v>2474665.1177962115</v>
      </c>
      <c r="G723" s="6">
        <v>1513</v>
      </c>
      <c r="H723" s="6">
        <v>1456</v>
      </c>
      <c r="I723" s="65">
        <v>8.8258644944724232</v>
      </c>
      <c r="J723" s="6">
        <f>VLOOKUP($D723,Sheet1!$A$5:$C$192,3,TRUE)</f>
        <v>4</v>
      </c>
      <c r="K723" s="42" t="str">
        <f>VLOOKUP($D723,Sheet1!$A$5:$C$192,2,TRUE)</f>
        <v>/|</v>
      </c>
      <c r="L723" s="6">
        <f>FLOOR(VLOOKUP($D723,Sheet1!$D$5:$F$192,3,TRUE),1)</f>
        <v>8</v>
      </c>
      <c r="M723" s="42" t="str">
        <f>VLOOKUP($D723,Sheet1!$D$5:$F$192,2,TRUE)</f>
        <v>)|~</v>
      </c>
      <c r="N723" s="23">
        <f>FLOOR(VLOOKUP($D723,Sheet1!$G$5:$I$192,3,TRUE),1)</f>
        <v>10</v>
      </c>
      <c r="O723" s="42" t="str">
        <f>VLOOKUP($D723,Sheet1!$G$5:$I$192,2,TRUE)</f>
        <v>./|</v>
      </c>
      <c r="P723" s="23">
        <v>1</v>
      </c>
      <c r="Q723" s="43" t="str">
        <f>VLOOKUP($D723,Sheet1!$J$5:$L$192,2,TRUE)</f>
        <v>./|.</v>
      </c>
      <c r="R723" s="23">
        <f>FLOOR(VLOOKUP($D723,Sheet1!$M$5:$O$192,3,TRUE),1)</f>
        <v>39</v>
      </c>
      <c r="S723" s="42" t="str">
        <f>VLOOKUP($D723,Sheet1!$M$5:$O$192,2,TRUE)</f>
        <v>./|.</v>
      </c>
      <c r="T723" s="117">
        <f>IF(ABS(D723-VLOOKUP($D723,Sheet1!$M$5:$T$192,8,TRUE))&lt;10^-10,"SoCA",D723-VLOOKUP($D723,Sheet1!$M$5:$T$192,8,TRUE))</f>
        <v>-6.1052348757620223E-2</v>
      </c>
      <c r="U723" s="109">
        <f>IF(VLOOKUP($D723,Sheet1!$M$5:$U$192,9,TRUE)=0,"",IF(ABS(D723-VLOOKUP($D723,Sheet1!$M$5:$U$192,9,TRUE))&lt;10^-10,"Alt.",D723-VLOOKUP($D723,Sheet1!$M$5:$U$192,9,TRUE)))</f>
        <v>-8.8012643960055925E-2</v>
      </c>
      <c r="V723" s="132">
        <f>$D723-Sheet1!$M$3*$R723</f>
        <v>3.9979537627122141E-2</v>
      </c>
      <c r="Z723" s="6"/>
      <c r="AA723" s="61"/>
    </row>
    <row r="724" spans="1:27" ht="13.5">
      <c r="A724" s="48" t="s">
        <v>84</v>
      </c>
      <c r="B724" s="48">
        <f>3^4*5^2</f>
        <v>2025</v>
      </c>
      <c r="C724" s="48">
        <f>2^11</f>
        <v>2048</v>
      </c>
      <c r="D724" s="51">
        <f t="shared" si="15"/>
        <v>19.552568808780734</v>
      </c>
      <c r="E724" s="61">
        <v>5</v>
      </c>
      <c r="F724" s="65">
        <v>14.362801782880133</v>
      </c>
      <c r="G724" s="25">
        <v>7</v>
      </c>
      <c r="H724" s="6">
        <v>7</v>
      </c>
      <c r="I724" s="65">
        <v>-5.2039228954430845</v>
      </c>
      <c r="J724" s="6">
        <f>VLOOKUP($D724,Sheet1!$A$5:$C$192,3,TRUE)</f>
        <v>4</v>
      </c>
      <c r="K724" s="42" t="str">
        <f>VLOOKUP($D724,Sheet1!$A$5:$C$192,2,TRUE)</f>
        <v>/|</v>
      </c>
      <c r="L724" s="6">
        <f>FLOOR(VLOOKUP($D724,Sheet1!$D$5:$F$192,3,TRUE),1)</f>
        <v>8</v>
      </c>
      <c r="M724" s="42" t="str">
        <f>VLOOKUP($D724,Sheet1!$D$5:$F$192,2,TRUE)</f>
        <v>)|~</v>
      </c>
      <c r="N724" s="39">
        <f>FLOOR(VLOOKUP($D724,Sheet1!$G$5:$I$192,3,TRUE),1)</f>
        <v>10</v>
      </c>
      <c r="O724" s="44" t="str">
        <f>VLOOKUP($D724,Sheet1!$G$5:$I$192,2,TRUE)</f>
        <v>./|</v>
      </c>
      <c r="P724" s="39">
        <v>1</v>
      </c>
      <c r="Q724" s="44" t="str">
        <f>VLOOKUP($D724,Sheet1!$J$5:$L$192,2,TRUE)</f>
        <v>./|</v>
      </c>
      <c r="R724" s="39">
        <f>FLOOR(VLOOKUP($D724,Sheet1!$M$5:$O$192,3,TRUE),1)</f>
        <v>40</v>
      </c>
      <c r="S724" s="44" t="str">
        <f>VLOOKUP($D724,Sheet1!$M$5:$O$192,2,TRUE)</f>
        <v>./|</v>
      </c>
      <c r="T724" s="113" t="str">
        <f>IF(ABS(D724-VLOOKUP($D724,Sheet1!$M$5:$T$192,8,TRUE))&lt;10^-10,"SoCA",D724-VLOOKUP($D724,Sheet1!$M$5:$T$192,8,TRUE))</f>
        <v>SoCA</v>
      </c>
      <c r="U724" s="118" t="str">
        <f>IF(VLOOKUP($D724,Sheet1!$M$5:$U$192,9,TRUE)=0,"",IF(ABS(D724-VLOOKUP($D724,Sheet1!$M$5:$U$192,9,TRUE))&lt;10^-10,"Alt.",D724-VLOOKUP($D724,Sheet1!$M$5:$U$192,9,TRUE)))</f>
        <v/>
      </c>
      <c r="V724" s="136">
        <f>$D724-Sheet1!$M$3*$R724</f>
        <v>3.5829571405294303E-2</v>
      </c>
      <c r="Z724" s="6"/>
      <c r="AA724" s="61"/>
    </row>
    <row r="725" spans="1:27" ht="13.5">
      <c r="A725" s="23" t="s">
        <v>424</v>
      </c>
      <c r="B725" s="23">
        <f>2^13*11</f>
        <v>90112</v>
      </c>
      <c r="C725" s="23">
        <f>3^6*5^3</f>
        <v>91125</v>
      </c>
      <c r="D725" s="13">
        <f t="shared" si="15"/>
        <v>19.353204422072427</v>
      </c>
      <c r="E725" s="61">
        <v>11</v>
      </c>
      <c r="F725" s="65">
        <v>37.246946442116517</v>
      </c>
      <c r="G725" s="6">
        <v>280</v>
      </c>
      <c r="H725" s="6">
        <v>262</v>
      </c>
      <c r="I725" s="65">
        <v>4.8083526961705516</v>
      </c>
      <c r="J725" s="6">
        <f>VLOOKUP($D725,Sheet1!$A$5:$C$192,3,TRUE)</f>
        <v>4</v>
      </c>
      <c r="K725" s="42" t="str">
        <f>VLOOKUP($D725,Sheet1!$A$5:$C$192,2,TRUE)</f>
        <v>/|</v>
      </c>
      <c r="L725" s="6">
        <f>FLOOR(VLOOKUP($D725,Sheet1!$D$5:$F$192,3,TRUE),1)</f>
        <v>8</v>
      </c>
      <c r="M725" s="42" t="str">
        <f>VLOOKUP($D725,Sheet1!$D$5:$F$192,2,TRUE)</f>
        <v>)|~</v>
      </c>
      <c r="N725" s="23">
        <f>FLOOR(VLOOKUP($D725,Sheet1!$G$5:$I$192,3,TRUE),1)</f>
        <v>10</v>
      </c>
      <c r="O725" s="42" t="str">
        <f>VLOOKUP($D725,Sheet1!$G$5:$I$192,2,TRUE)</f>
        <v>./|</v>
      </c>
      <c r="P725" s="23">
        <v>1</v>
      </c>
      <c r="Q725" s="43" t="str">
        <f>VLOOKUP($D725,Sheet1!$J$5:$L$192,2,TRUE)</f>
        <v>./|</v>
      </c>
      <c r="R725" s="23">
        <f>FLOOR(VLOOKUP($D725,Sheet1!$M$5:$O$192,3,TRUE),1)</f>
        <v>40</v>
      </c>
      <c r="S725" s="43" t="str">
        <f>VLOOKUP($D725,Sheet1!$M$5:$O$192,2,TRUE)</f>
        <v>'~~|</v>
      </c>
      <c r="T725" s="117">
        <f>IF(ABS(D725-VLOOKUP($D725,Sheet1!$M$5:$T$192,8,TRUE))&lt;10^-10,"SoCA",D725-VLOOKUP($D725,Sheet1!$M$5:$T$192,8,TRUE))</f>
        <v>-0.17664752314324517</v>
      </c>
      <c r="U725" s="117" t="str">
        <f>IF(VLOOKUP($D725,Sheet1!$M$5:$U$192,9,TRUE)=0,"",IF(ABS(D725-VLOOKUP($D725,Sheet1!$M$5:$U$192,9,TRUE))&lt;10^-10,"Alt.",D725-VLOOKUP($D725,Sheet1!$M$5:$U$192,9,TRUE)))</f>
        <v/>
      </c>
      <c r="V725" s="132">
        <f>$D725-Sheet1!$M$3*$R725</f>
        <v>-0.16353481530301295</v>
      </c>
      <c r="Z725" s="6"/>
      <c r="AA725" s="61"/>
    </row>
    <row r="726" spans="1:27" ht="13.5">
      <c r="A726" s="40" t="s">
        <v>323</v>
      </c>
      <c r="B726" s="40">
        <f>2^16*7^2</f>
        <v>3211264</v>
      </c>
      <c r="C726" s="40">
        <f>3^10*5*11</f>
        <v>3247695</v>
      </c>
      <c r="D726" s="13">
        <f t="shared" si="15"/>
        <v>19.529851945215984</v>
      </c>
      <c r="E726" s="61">
        <v>11</v>
      </c>
      <c r="F726" s="65">
        <v>44.061944136983698</v>
      </c>
      <c r="G726" s="6">
        <v>130</v>
      </c>
      <c r="H726" s="6">
        <v>154</v>
      </c>
      <c r="I726" s="65">
        <v>8.7974758646086375</v>
      </c>
      <c r="J726" s="6">
        <f>VLOOKUP($D726,Sheet1!$A$5:$C$192,3,TRUE)</f>
        <v>4</v>
      </c>
      <c r="K726" s="42" t="str">
        <f>VLOOKUP($D726,Sheet1!$A$5:$C$192,2,TRUE)</f>
        <v>/|</v>
      </c>
      <c r="L726" s="6">
        <f>FLOOR(VLOOKUP($D726,Sheet1!$D$5:$F$192,3,TRUE),1)</f>
        <v>8</v>
      </c>
      <c r="M726" s="42" t="str">
        <f>VLOOKUP($D726,Sheet1!$D$5:$F$192,2,TRUE)</f>
        <v>)|~</v>
      </c>
      <c r="N726" s="23">
        <f>FLOOR(VLOOKUP($D726,Sheet1!$G$5:$I$192,3,TRUE),1)</f>
        <v>10</v>
      </c>
      <c r="O726" s="42" t="str">
        <f>VLOOKUP($D726,Sheet1!$G$5:$I$192,2,TRUE)</f>
        <v>./|</v>
      </c>
      <c r="P726" s="23">
        <v>1</v>
      </c>
      <c r="Q726" s="43" t="str">
        <f>VLOOKUP($D726,Sheet1!$J$5:$L$192,2,TRUE)</f>
        <v>./|</v>
      </c>
      <c r="R726" s="40">
        <f>FLOOR(VLOOKUP($D726,Sheet1!$M$5:$O$192,3,TRUE),1)</f>
        <v>40</v>
      </c>
      <c r="S726" s="46" t="str">
        <f>VLOOKUP($D726,Sheet1!$M$5:$O$192,2,TRUE)</f>
        <v>'~~|</v>
      </c>
      <c r="T726" s="116" t="str">
        <f>IF(ABS(D726-VLOOKUP($D726,Sheet1!$M$5:$T$192,8,TRUE))&lt;10^-10,"SoCA",D726-VLOOKUP($D726,Sheet1!$M$5:$T$192,8,TRUE))</f>
        <v>SoCA</v>
      </c>
      <c r="U726" s="115" t="str">
        <f>IF(VLOOKUP($D726,Sheet1!$M$5:$U$192,9,TRUE)=0,"",IF(ABS(D726-VLOOKUP($D726,Sheet1!$M$5:$U$192,9,TRUE))&lt;10^-10,"Alt.",D726-VLOOKUP($D726,Sheet1!$M$5:$U$192,9,TRUE)))</f>
        <v/>
      </c>
      <c r="V726" s="132">
        <f>$D726-Sheet1!$M$3*$R726</f>
        <v>1.3112707840544857E-2</v>
      </c>
      <c r="Z726" s="6"/>
      <c r="AA726" s="61"/>
    </row>
    <row r="727" spans="1:27" ht="13.5">
      <c r="A727" t="s">
        <v>731</v>
      </c>
      <c r="B727">
        <v>793881</v>
      </c>
      <c r="C727">
        <v>802816</v>
      </c>
      <c r="D727" s="13">
        <f t="shared" si="15"/>
        <v>19.37592128563703</v>
      </c>
      <c r="E727" s="61">
        <v>11</v>
      </c>
      <c r="F727" s="65">
        <v>44.453023217978654</v>
      </c>
      <c r="G727" s="6">
        <v>456</v>
      </c>
      <c r="H727" s="6">
        <v>576</v>
      </c>
      <c r="I727" s="65">
        <v>-9.1930460638811624</v>
      </c>
      <c r="J727" s="6">
        <f>VLOOKUP($D727,Sheet1!$A$5:$C$192,3,TRUE)</f>
        <v>4</v>
      </c>
      <c r="K727" s="42" t="str">
        <f>VLOOKUP($D727,Sheet1!$A$5:$C$192,2,TRUE)</f>
        <v>/|</v>
      </c>
      <c r="L727" s="6">
        <f>FLOOR(VLOOKUP($D727,Sheet1!$D$5:$F$192,3,TRUE),1)</f>
        <v>8</v>
      </c>
      <c r="M727" s="42" t="str">
        <f>VLOOKUP($D727,Sheet1!$D$5:$F$192,2,TRUE)</f>
        <v>)|~</v>
      </c>
      <c r="N727" s="23">
        <f>FLOOR(VLOOKUP($D727,Sheet1!$G$5:$I$192,3,TRUE),1)</f>
        <v>10</v>
      </c>
      <c r="O727" s="42" t="str">
        <f>VLOOKUP($D727,Sheet1!$G$5:$I$192,2,TRUE)</f>
        <v>./|</v>
      </c>
      <c r="P727" s="23">
        <v>1</v>
      </c>
      <c r="Q727" s="43" t="str">
        <f>VLOOKUP($D727,Sheet1!$J$5:$L$192,2,TRUE)</f>
        <v>./|</v>
      </c>
      <c r="R727" s="23">
        <f>FLOOR(VLOOKUP($D727,Sheet1!$M$5:$O$192,3,TRUE),1)</f>
        <v>40</v>
      </c>
      <c r="S727" s="42" t="str">
        <f>VLOOKUP($D727,Sheet1!$M$5:$O$192,2,TRUE)</f>
        <v>'~~|</v>
      </c>
      <c r="T727" s="117">
        <f>IF(ABS(D727-VLOOKUP($D727,Sheet1!$M$5:$T$192,8,TRUE))&lt;10^-10,"SoCA",D727-VLOOKUP($D727,Sheet1!$M$5:$T$192,8,TRUE))</f>
        <v>-0.15393065957864138</v>
      </c>
      <c r="U727" s="109" t="str">
        <f>IF(VLOOKUP($D727,Sheet1!$M$5:$U$192,9,TRUE)=0,"",IF(ABS(D727-VLOOKUP($D727,Sheet1!$M$5:$U$192,9,TRUE))&lt;10^-10,"Alt.",D727-VLOOKUP($D727,Sheet1!$M$5:$U$192,9,TRUE)))</f>
        <v/>
      </c>
      <c r="V727" s="132">
        <f>$D727-Sheet1!$M$3*$R727</f>
        <v>-0.14081795173840916</v>
      </c>
      <c r="Z727" s="6"/>
      <c r="AA727" s="61"/>
    </row>
    <row r="728" spans="1:27" ht="13.5">
      <c r="A728" t="s">
        <v>431</v>
      </c>
      <c r="B728">
        <v>89</v>
      </c>
      <c r="C728">
        <v>90</v>
      </c>
      <c r="D728" s="13">
        <f t="shared" si="15"/>
        <v>19.343598435932392</v>
      </c>
      <c r="E728" s="61" t="s">
        <v>1931</v>
      </c>
      <c r="F728" s="65">
        <v>94.072516579039942</v>
      </c>
      <c r="G728" s="6">
        <v>300</v>
      </c>
      <c r="H728" s="6">
        <v>269</v>
      </c>
      <c r="I728" s="65">
        <v>0.80894417173370581</v>
      </c>
      <c r="J728" s="6">
        <f>VLOOKUP($D728,Sheet1!$A$5:$C$192,3,TRUE)</f>
        <v>4</v>
      </c>
      <c r="K728" s="42" t="str">
        <f>VLOOKUP($D728,Sheet1!$A$5:$C$192,2,TRUE)</f>
        <v>/|</v>
      </c>
      <c r="L728" s="6">
        <f>FLOOR(VLOOKUP($D728,Sheet1!$D$5:$F$192,3,TRUE),1)</f>
        <v>8</v>
      </c>
      <c r="M728" s="42" t="str">
        <f>VLOOKUP($D728,Sheet1!$D$5:$F$192,2,TRUE)</f>
        <v>)|~</v>
      </c>
      <c r="N728" s="23">
        <f>FLOOR(VLOOKUP($D728,Sheet1!$G$5:$I$192,3,TRUE),1)</f>
        <v>10</v>
      </c>
      <c r="O728" s="42" t="str">
        <f>VLOOKUP($D728,Sheet1!$G$5:$I$192,2,TRUE)</f>
        <v>./|</v>
      </c>
      <c r="P728" s="23">
        <v>1</v>
      </c>
      <c r="Q728" s="43" t="str">
        <f>VLOOKUP($D728,Sheet1!$J$5:$L$192,2,TRUE)</f>
        <v>./|</v>
      </c>
      <c r="R728" s="23">
        <f>FLOOR(VLOOKUP($D728,Sheet1!$M$5:$O$192,3,TRUE),1)</f>
        <v>40</v>
      </c>
      <c r="S728" s="42" t="str">
        <f>VLOOKUP($D728,Sheet1!$M$5:$O$192,2,TRUE)</f>
        <v>'~~|</v>
      </c>
      <c r="T728" s="117">
        <f>IF(ABS(D728-VLOOKUP($D728,Sheet1!$M$5:$T$192,8,TRUE))&lt;10^-10,"SoCA",D728-VLOOKUP($D728,Sheet1!$M$5:$T$192,8,TRUE))</f>
        <v>-0.18625350928327933</v>
      </c>
      <c r="U728" s="109" t="str">
        <f>IF(VLOOKUP($D728,Sheet1!$M$5:$U$192,9,TRUE)=0,"",IF(ABS(D728-VLOOKUP($D728,Sheet1!$M$5:$U$192,9,TRUE))&lt;10^-10,"Alt.",D728-VLOOKUP($D728,Sheet1!$M$5:$U$192,9,TRUE)))</f>
        <v/>
      </c>
      <c r="V728" s="132">
        <f>$D728-Sheet1!$M$3*$R728</f>
        <v>-0.17314080144304711</v>
      </c>
      <c r="Z728" s="6"/>
      <c r="AA728" s="61"/>
    </row>
    <row r="729" spans="1:27" ht="13.5">
      <c r="A729" t="s">
        <v>842</v>
      </c>
      <c r="B729">
        <v>88</v>
      </c>
      <c r="C729">
        <v>89</v>
      </c>
      <c r="D729" s="13">
        <f t="shared" si="15"/>
        <v>19.562174794920772</v>
      </c>
      <c r="E729" s="61" t="s">
        <v>1931</v>
      </c>
      <c r="F729" s="65">
        <v>100.04221557412428</v>
      </c>
      <c r="G729" s="6">
        <v>762</v>
      </c>
      <c r="H729" s="6">
        <v>689</v>
      </c>
      <c r="I729" s="65">
        <v>-1.2045143710062394</v>
      </c>
      <c r="J729" s="6">
        <f>VLOOKUP($D729,Sheet1!$A$5:$C$192,3,TRUE)</f>
        <v>4</v>
      </c>
      <c r="K729" s="42" t="str">
        <f>VLOOKUP($D729,Sheet1!$A$5:$C$192,2,TRUE)</f>
        <v>/|</v>
      </c>
      <c r="L729" s="6">
        <f>FLOOR(VLOOKUP($D729,Sheet1!$D$5:$F$192,3,TRUE),1)</f>
        <v>8</v>
      </c>
      <c r="M729" s="42" t="str">
        <f>VLOOKUP($D729,Sheet1!$D$5:$F$192,2,TRUE)</f>
        <v>)|~</v>
      </c>
      <c r="N729" s="23">
        <f>FLOOR(VLOOKUP($D729,Sheet1!$G$5:$I$192,3,TRUE),1)</f>
        <v>10</v>
      </c>
      <c r="O729" s="42" t="str">
        <f>VLOOKUP($D729,Sheet1!$G$5:$I$192,2,TRUE)</f>
        <v>./|</v>
      </c>
      <c r="P729" s="23">
        <v>1</v>
      </c>
      <c r="Q729" s="43" t="str">
        <f>VLOOKUP($D729,Sheet1!$J$5:$L$192,2,TRUE)</f>
        <v>./|</v>
      </c>
      <c r="R729" s="23">
        <f>FLOOR(VLOOKUP($D729,Sheet1!$M$5:$O$192,3,TRUE),1)</f>
        <v>40</v>
      </c>
      <c r="S729" s="42" t="str">
        <f>VLOOKUP($D729,Sheet1!$M$5:$O$192,2,TRUE)</f>
        <v>./|</v>
      </c>
      <c r="T729" s="117">
        <f>IF(ABS(D729-VLOOKUP($D729,Sheet1!$M$5:$T$192,8,TRUE))&lt;10^-10,"SoCA",D729-VLOOKUP($D729,Sheet1!$M$5:$T$192,8,TRUE))</f>
        <v>9.6059861401514013E-3</v>
      </c>
      <c r="U729" s="109" t="str">
        <f>IF(VLOOKUP($D729,Sheet1!$M$5:$U$192,9,TRUE)=0,"",IF(ABS(D729-VLOOKUP($D729,Sheet1!$M$5:$U$192,9,TRUE))&lt;10^-10,"Alt.",D729-VLOOKUP($D729,Sheet1!$M$5:$U$192,9,TRUE)))</f>
        <v/>
      </c>
      <c r="V729" s="132">
        <f>$D729-Sheet1!$M$3*$R729</f>
        <v>4.5435557545332017E-2</v>
      </c>
      <c r="Z729" s="6"/>
      <c r="AA729" s="61"/>
    </row>
    <row r="730" spans="1:27" ht="13.5">
      <c r="A730" t="s">
        <v>1303</v>
      </c>
      <c r="B730">
        <v>5373952</v>
      </c>
      <c r="C730">
        <v>5434695</v>
      </c>
      <c r="D730" s="13">
        <f t="shared" si="15"/>
        <v>19.458764255589777</v>
      </c>
      <c r="E730" s="61" t="s">
        <v>1931</v>
      </c>
      <c r="F730" s="65">
        <v>176.05511059973156</v>
      </c>
      <c r="G730" s="6">
        <v>1211</v>
      </c>
      <c r="H730" s="6">
        <v>1152</v>
      </c>
      <c r="I730" s="65">
        <v>5.8018529926454763</v>
      </c>
      <c r="J730" s="6">
        <f>VLOOKUP($D730,Sheet1!$A$5:$C$192,3,TRUE)</f>
        <v>4</v>
      </c>
      <c r="K730" s="42" t="str">
        <f>VLOOKUP($D730,Sheet1!$A$5:$C$192,2,TRUE)</f>
        <v>/|</v>
      </c>
      <c r="L730" s="6">
        <f>FLOOR(VLOOKUP($D730,Sheet1!$D$5:$F$192,3,TRUE),1)</f>
        <v>8</v>
      </c>
      <c r="M730" s="42" t="str">
        <f>VLOOKUP($D730,Sheet1!$D$5:$F$192,2,TRUE)</f>
        <v>)|~</v>
      </c>
      <c r="N730" s="23">
        <f>FLOOR(VLOOKUP($D730,Sheet1!$G$5:$I$192,3,TRUE),1)</f>
        <v>10</v>
      </c>
      <c r="O730" s="42" t="str">
        <f>VLOOKUP($D730,Sheet1!$G$5:$I$192,2,TRUE)</f>
        <v>./|</v>
      </c>
      <c r="P730" s="23">
        <v>1</v>
      </c>
      <c r="Q730" s="43" t="str">
        <f>VLOOKUP($D730,Sheet1!$J$5:$L$192,2,TRUE)</f>
        <v>./|</v>
      </c>
      <c r="R730" s="23">
        <f>FLOOR(VLOOKUP($D730,Sheet1!$M$5:$O$192,3,TRUE),1)</f>
        <v>40</v>
      </c>
      <c r="S730" s="42" t="str">
        <f>VLOOKUP($D730,Sheet1!$M$5:$O$192,2,TRUE)</f>
        <v>'~~|</v>
      </c>
      <c r="T730" s="117">
        <f>IF(ABS(D730-VLOOKUP($D730,Sheet1!$M$5:$T$192,8,TRUE))&lt;10^-10,"SoCA",D730-VLOOKUP($D730,Sheet1!$M$5:$T$192,8,TRUE))</f>
        <v>-7.1087689625894512E-2</v>
      </c>
      <c r="U730" s="109" t="str">
        <f>IF(VLOOKUP($D730,Sheet1!$M$5:$U$192,9,TRUE)=0,"",IF(ABS(D730-VLOOKUP($D730,Sheet1!$M$5:$U$192,9,TRUE))&lt;10^-10,"Alt.",D730-VLOOKUP($D730,Sheet1!$M$5:$U$192,9,TRUE)))</f>
        <v/>
      </c>
      <c r="V730" s="132">
        <f>$D730-Sheet1!$M$3*$R730</f>
        <v>-5.7974981785662294E-2</v>
      </c>
      <c r="Z730" s="6"/>
      <c r="AA730" s="61"/>
    </row>
    <row r="731" spans="1:27" ht="13.5">
      <c r="A731" t="s">
        <v>1716</v>
      </c>
      <c r="B731">
        <v>2277376</v>
      </c>
      <c r="C731">
        <v>2302911</v>
      </c>
      <c r="D731" s="13">
        <f t="shared" si="15"/>
        <v>19.303384020363264</v>
      </c>
      <c r="E731" s="61" t="s">
        <v>1931</v>
      </c>
      <c r="F731" s="65">
        <v>192.99430564501301</v>
      </c>
      <c r="G731" s="6">
        <v>1617</v>
      </c>
      <c r="H731" s="6">
        <v>1565</v>
      </c>
      <c r="I731" s="65">
        <v>9.8114203198093897</v>
      </c>
      <c r="J731" s="6">
        <f>VLOOKUP($D731,Sheet1!$A$5:$C$192,3,TRUE)</f>
        <v>4</v>
      </c>
      <c r="K731" s="42" t="str">
        <f>VLOOKUP($D731,Sheet1!$A$5:$C$192,2,TRUE)</f>
        <v>/|</v>
      </c>
      <c r="L731" s="6">
        <f>FLOOR(VLOOKUP($D731,Sheet1!$D$5:$F$192,3,TRUE),1)</f>
        <v>8</v>
      </c>
      <c r="M731" s="42" t="str">
        <f>VLOOKUP($D731,Sheet1!$D$5:$F$192,2,TRUE)</f>
        <v>)|~</v>
      </c>
      <c r="N731" s="23">
        <f>FLOOR(VLOOKUP($D731,Sheet1!$G$5:$I$192,3,TRUE),1)</f>
        <v>10</v>
      </c>
      <c r="O731" s="42" t="str">
        <f>VLOOKUP($D731,Sheet1!$G$5:$I$192,2,TRUE)</f>
        <v>./|</v>
      </c>
      <c r="P731" s="23">
        <v>1</v>
      </c>
      <c r="Q731" s="43" t="str">
        <f>VLOOKUP($D731,Sheet1!$J$5:$L$192,2,TRUE)</f>
        <v>./|</v>
      </c>
      <c r="R731" s="23">
        <f>FLOOR(VLOOKUP($D731,Sheet1!$M$5:$O$192,3,TRUE),1)</f>
        <v>40</v>
      </c>
      <c r="S731" s="42" t="str">
        <f>VLOOKUP($D731,Sheet1!$M$5:$O$192,2,TRUE)</f>
        <v>'~~|</v>
      </c>
      <c r="T731" s="117">
        <f>IF(ABS(D731-VLOOKUP($D731,Sheet1!$M$5:$T$192,8,TRUE))&lt;10^-10,"SoCA",D731-VLOOKUP($D731,Sheet1!$M$5:$T$192,8,TRUE))</f>
        <v>-0.22646792485240752</v>
      </c>
      <c r="U731" s="109" t="str">
        <f>IF(VLOOKUP($D731,Sheet1!$M$5:$U$192,9,TRUE)=0,"",IF(ABS(D731-VLOOKUP($D731,Sheet1!$M$5:$U$192,9,TRUE))&lt;10^-10,"Alt.",D731-VLOOKUP($D731,Sheet1!$M$5:$U$192,9,TRUE)))</f>
        <v/>
      </c>
      <c r="V731" s="132">
        <f>$D731-Sheet1!$M$3*$R731</f>
        <v>-0.2133552170121753</v>
      </c>
      <c r="Z731" s="6"/>
      <c r="AA731" s="61"/>
    </row>
    <row r="732" spans="1:27" ht="13.5">
      <c r="A732" t="s">
        <v>1494</v>
      </c>
      <c r="B732">
        <v>4456448</v>
      </c>
      <c r="C732">
        <v>4507407</v>
      </c>
      <c r="D732" s="13">
        <f t="shared" si="15"/>
        <v>19.684144004412062</v>
      </c>
      <c r="E732" s="61" t="s">
        <v>1931</v>
      </c>
      <c r="F732" s="65">
        <v>257.16290944461235</v>
      </c>
      <c r="G732" s="6">
        <v>1406</v>
      </c>
      <c r="H732" s="6">
        <v>1343</v>
      </c>
      <c r="I732" s="65">
        <v>7.7879755404073592</v>
      </c>
      <c r="J732" s="6">
        <f>VLOOKUP($D732,Sheet1!$A$5:$C$192,3,TRUE)</f>
        <v>4</v>
      </c>
      <c r="K732" s="42" t="str">
        <f>VLOOKUP($D732,Sheet1!$A$5:$C$192,2,TRUE)</f>
        <v>/|</v>
      </c>
      <c r="L732" s="6">
        <f>FLOOR(VLOOKUP($D732,Sheet1!$D$5:$F$192,3,TRUE),1)</f>
        <v>8</v>
      </c>
      <c r="M732" s="42" t="str">
        <f>VLOOKUP($D732,Sheet1!$D$5:$F$192,2,TRUE)</f>
        <v>)|~</v>
      </c>
      <c r="N732" s="23">
        <f>FLOOR(VLOOKUP($D732,Sheet1!$G$5:$I$192,3,TRUE),1)</f>
        <v>10</v>
      </c>
      <c r="O732" s="42" t="str">
        <f>VLOOKUP($D732,Sheet1!$G$5:$I$192,2,TRUE)</f>
        <v>./|</v>
      </c>
      <c r="P732" s="23">
        <v>1</v>
      </c>
      <c r="Q732" s="43" t="str">
        <f>VLOOKUP($D732,Sheet1!$J$5:$L$192,2,TRUE)</f>
        <v>./|</v>
      </c>
      <c r="R732" s="23">
        <f>FLOOR(VLOOKUP($D732,Sheet1!$M$5:$O$192,3,TRUE),1)</f>
        <v>40</v>
      </c>
      <c r="S732" s="42" t="str">
        <f>VLOOKUP($D732,Sheet1!$M$5:$O$192,2,TRUE)</f>
        <v>./|</v>
      </c>
      <c r="T732" s="117">
        <f>IF(ABS(D732-VLOOKUP($D732,Sheet1!$M$5:$T$192,8,TRUE))&lt;10^-10,"SoCA",D732-VLOOKUP($D732,Sheet1!$M$5:$T$192,8,TRUE))</f>
        <v>0.13157519563144149</v>
      </c>
      <c r="U732" s="109" t="str">
        <f>IF(VLOOKUP($D732,Sheet1!$M$5:$U$192,9,TRUE)=0,"",IF(ABS(D732-VLOOKUP($D732,Sheet1!$M$5:$U$192,9,TRUE))&lt;10^-10,"Alt.",D732-VLOOKUP($D732,Sheet1!$M$5:$U$192,9,TRUE)))</f>
        <v/>
      </c>
      <c r="V732" s="132">
        <f>$D732-Sheet1!$M$3*$R732</f>
        <v>0.1674047670366221</v>
      </c>
      <c r="Z732" s="6"/>
      <c r="AA732" s="61"/>
    </row>
    <row r="733" spans="1:27" ht="13.5">
      <c r="A733" t="s">
        <v>1603</v>
      </c>
      <c r="B733">
        <v>36491264</v>
      </c>
      <c r="C733">
        <v>36905625</v>
      </c>
      <c r="D733" s="13">
        <f t="shared" si="15"/>
        <v>19.547517688909096</v>
      </c>
      <c r="E733" s="61" t="s">
        <v>1931</v>
      </c>
      <c r="F733" s="65">
        <v>14323.303068755376</v>
      </c>
      <c r="G733" s="6">
        <v>1509</v>
      </c>
      <c r="H733" s="6">
        <v>1452</v>
      </c>
      <c r="I733" s="65">
        <v>8.7963881204096435</v>
      </c>
      <c r="J733" s="6">
        <f>VLOOKUP($D733,Sheet1!$A$5:$C$192,3,TRUE)</f>
        <v>4</v>
      </c>
      <c r="K733" s="42" t="str">
        <f>VLOOKUP($D733,Sheet1!$A$5:$C$192,2,TRUE)</f>
        <v>/|</v>
      </c>
      <c r="L733" s="6">
        <f>FLOOR(VLOOKUP($D733,Sheet1!$D$5:$F$192,3,TRUE),1)</f>
        <v>8</v>
      </c>
      <c r="M733" s="42" t="str">
        <f>VLOOKUP($D733,Sheet1!$D$5:$F$192,2,TRUE)</f>
        <v>)|~</v>
      </c>
      <c r="N733" s="23">
        <f>FLOOR(VLOOKUP($D733,Sheet1!$G$5:$I$192,3,TRUE),1)</f>
        <v>10</v>
      </c>
      <c r="O733" s="42" t="str">
        <f>VLOOKUP($D733,Sheet1!$G$5:$I$192,2,TRUE)</f>
        <v>./|</v>
      </c>
      <c r="P733" s="23">
        <v>1</v>
      </c>
      <c r="Q733" s="43" t="str">
        <f>VLOOKUP($D733,Sheet1!$J$5:$L$192,2,TRUE)</f>
        <v>./|</v>
      </c>
      <c r="R733" s="23">
        <f>FLOOR(VLOOKUP($D733,Sheet1!$M$5:$O$192,3,TRUE),1)</f>
        <v>40</v>
      </c>
      <c r="S733" s="42" t="str">
        <f>VLOOKUP($D733,Sheet1!$M$5:$O$192,2,TRUE)</f>
        <v>./|</v>
      </c>
      <c r="T733" s="117">
        <f>IF(ABS(D733-VLOOKUP($D733,Sheet1!$M$5:$T$192,8,TRUE))&lt;10^-10,"SoCA",D733-VLOOKUP($D733,Sheet1!$M$5:$T$192,8,TRUE))</f>
        <v>-5.051119871524179E-3</v>
      </c>
      <c r="U733" s="109" t="str">
        <f>IF(VLOOKUP($D733,Sheet1!$M$5:$U$192,9,TRUE)=0,"",IF(ABS(D733-VLOOKUP($D733,Sheet1!$M$5:$U$192,9,TRUE))&lt;10^-10,"Alt.",D733-VLOOKUP($D733,Sheet1!$M$5:$U$192,9,TRUE)))</f>
        <v/>
      </c>
      <c r="V733" s="132">
        <f>$D733-Sheet1!$M$3*$R733</f>
        <v>3.0778451533656437E-2</v>
      </c>
      <c r="Z733" s="6"/>
      <c r="AA733" s="61"/>
    </row>
    <row r="734" spans="1:27" ht="13.5">
      <c r="A734" t="s">
        <v>1435</v>
      </c>
      <c r="B734">
        <v>93312</v>
      </c>
      <c r="C734">
        <v>94357</v>
      </c>
      <c r="D734" s="13">
        <f t="shared" si="15"/>
        <v>19.280310331050266</v>
      </c>
      <c r="E734" s="61" t="s">
        <v>1931</v>
      </c>
      <c r="F734" s="65">
        <v>113235.03584860075</v>
      </c>
      <c r="G734" s="6">
        <v>1351</v>
      </c>
      <c r="H734" s="6">
        <v>1284</v>
      </c>
      <c r="I734" s="65">
        <v>-7.187158949077582</v>
      </c>
      <c r="J734" s="6">
        <f>VLOOKUP($D734,Sheet1!$A$5:$C$192,3,TRUE)</f>
        <v>4</v>
      </c>
      <c r="K734" s="42" t="str">
        <f>VLOOKUP($D734,Sheet1!$A$5:$C$192,2,TRUE)</f>
        <v>/|</v>
      </c>
      <c r="L734" s="6">
        <f>FLOOR(VLOOKUP($D734,Sheet1!$D$5:$F$192,3,TRUE),1)</f>
        <v>8</v>
      </c>
      <c r="M734" s="42" t="str">
        <f>VLOOKUP($D734,Sheet1!$D$5:$F$192,2,TRUE)</f>
        <v>)|~</v>
      </c>
      <c r="N734" s="23">
        <f>FLOOR(VLOOKUP($D734,Sheet1!$G$5:$I$192,3,TRUE),1)</f>
        <v>10</v>
      </c>
      <c r="O734" s="42" t="str">
        <f>VLOOKUP($D734,Sheet1!$G$5:$I$192,2,TRUE)</f>
        <v>./|</v>
      </c>
      <c r="P734" s="23">
        <v>1</v>
      </c>
      <c r="Q734" s="43" t="str">
        <f>VLOOKUP($D734,Sheet1!$J$5:$L$192,2,TRUE)</f>
        <v>./|</v>
      </c>
      <c r="R734" s="23">
        <f>FLOOR(VLOOKUP($D734,Sheet1!$M$5:$O$192,3,TRUE),1)</f>
        <v>40</v>
      </c>
      <c r="S734" s="42" t="str">
        <f>VLOOKUP($D734,Sheet1!$M$5:$O$192,2,TRUE)</f>
        <v>'~~|</v>
      </c>
      <c r="T734" s="117">
        <f>IF(ABS(D734-VLOOKUP($D734,Sheet1!$M$5:$T$192,8,TRUE))&lt;10^-10,"SoCA",D734-VLOOKUP($D734,Sheet1!$M$5:$T$192,8,TRUE))</f>
        <v>-0.24954161416540543</v>
      </c>
      <c r="U734" s="109" t="str">
        <f>IF(VLOOKUP($D734,Sheet1!$M$5:$U$192,9,TRUE)=0,"",IF(ABS(D734-VLOOKUP($D734,Sheet1!$M$5:$U$192,9,TRUE))&lt;10^-10,"Alt.",D734-VLOOKUP($D734,Sheet1!$M$5:$U$192,9,TRUE)))</f>
        <v/>
      </c>
      <c r="V734" s="132">
        <f>$D734-Sheet1!$M$3*$R734</f>
        <v>-0.23642890632517322</v>
      </c>
      <c r="Z734" s="6"/>
      <c r="AA734" s="61"/>
    </row>
    <row r="735" spans="1:27" ht="13.5">
      <c r="A735" t="s">
        <v>1715</v>
      </c>
      <c r="B735">
        <v>68380983296</v>
      </c>
      <c r="C735">
        <v>69155531595</v>
      </c>
      <c r="D735" s="13">
        <f t="shared" si="15"/>
        <v>19.499382616924425</v>
      </c>
      <c r="E735" s="61" t="s">
        <v>1931</v>
      </c>
      <c r="F735" s="65">
        <v>1345904.6856656629</v>
      </c>
      <c r="G735" s="6">
        <v>1615</v>
      </c>
      <c r="H735" s="6">
        <v>1564</v>
      </c>
      <c r="I735" s="65">
        <v>9.7993519721573552</v>
      </c>
      <c r="J735" s="6">
        <f>VLOOKUP($D735,Sheet1!$A$5:$C$192,3,TRUE)</f>
        <v>4</v>
      </c>
      <c r="K735" s="42" t="str">
        <f>VLOOKUP($D735,Sheet1!$A$5:$C$192,2,TRUE)</f>
        <v>/|</v>
      </c>
      <c r="L735" s="6">
        <f>FLOOR(VLOOKUP($D735,Sheet1!$D$5:$F$192,3,TRUE),1)</f>
        <v>8</v>
      </c>
      <c r="M735" s="42" t="str">
        <f>VLOOKUP($D735,Sheet1!$D$5:$F$192,2,TRUE)</f>
        <v>)|~</v>
      </c>
      <c r="N735" s="23">
        <f>FLOOR(VLOOKUP($D735,Sheet1!$G$5:$I$192,3,TRUE),1)</f>
        <v>10</v>
      </c>
      <c r="O735" s="42" t="str">
        <f>VLOOKUP($D735,Sheet1!$G$5:$I$192,2,TRUE)</f>
        <v>./|</v>
      </c>
      <c r="P735" s="23">
        <v>1</v>
      </c>
      <c r="Q735" s="43" t="str">
        <f>VLOOKUP($D735,Sheet1!$J$5:$L$192,2,TRUE)</f>
        <v>./|</v>
      </c>
      <c r="R735" s="23">
        <f>FLOOR(VLOOKUP($D735,Sheet1!$M$5:$O$192,3,TRUE),1)</f>
        <v>40</v>
      </c>
      <c r="S735" s="42" t="str">
        <f>VLOOKUP($D735,Sheet1!$M$5:$O$192,2,TRUE)</f>
        <v>'~~|</v>
      </c>
      <c r="T735" s="117">
        <f>IF(ABS(D735-VLOOKUP($D735,Sheet1!$M$5:$T$192,8,TRUE))&lt;10^-10,"SoCA",D735-VLOOKUP($D735,Sheet1!$M$5:$T$192,8,TRUE))</f>
        <v>-3.0469328291246711E-2</v>
      </c>
      <c r="U735" s="109" t="str">
        <f>IF(VLOOKUP($D735,Sheet1!$M$5:$U$192,9,TRUE)=0,"",IF(ABS(D735-VLOOKUP($D735,Sheet1!$M$5:$U$192,9,TRUE))&lt;10^-10,"Alt.",D735-VLOOKUP($D735,Sheet1!$M$5:$U$192,9,TRUE)))</f>
        <v/>
      </c>
      <c r="V735" s="132">
        <f>$D735-Sheet1!$M$3*$R735</f>
        <v>-1.7356620451014493E-2</v>
      </c>
      <c r="Z735" s="6"/>
      <c r="AA735" s="61"/>
    </row>
    <row r="736" spans="1:27" ht="13.5">
      <c r="A736" s="33" t="s">
        <v>86</v>
      </c>
      <c r="B736" s="33">
        <f>2^10*19</f>
        <v>19456</v>
      </c>
      <c r="C736" s="33">
        <f>3^9</f>
        <v>19683</v>
      </c>
      <c r="D736" s="13">
        <f t="shared" si="15"/>
        <v>20.081991656184307</v>
      </c>
      <c r="E736" s="61">
        <v>19</v>
      </c>
      <c r="F736" s="65">
        <v>28.932880915940625</v>
      </c>
      <c r="G736" s="6">
        <v>47</v>
      </c>
      <c r="H736" s="6">
        <v>55</v>
      </c>
      <c r="I736" s="65">
        <v>7.7634786110498322</v>
      </c>
      <c r="J736" s="6">
        <f>VLOOKUP($D736,Sheet1!$A$5:$C$192,3,TRUE)</f>
        <v>4</v>
      </c>
      <c r="K736" s="42" t="str">
        <f>VLOOKUP($D736,Sheet1!$A$5:$C$192,2,TRUE)</f>
        <v>/|</v>
      </c>
      <c r="L736" s="34">
        <f>FLOOR(VLOOKUP($D736,Sheet1!$D$5:$F$192,3,TRUE),1)</f>
        <v>8</v>
      </c>
      <c r="M736" s="41" t="str">
        <f>VLOOKUP($D736,Sheet1!$D$5:$F$192,2,TRUE)</f>
        <v>)|~</v>
      </c>
      <c r="N736" s="34">
        <f>FLOOR(VLOOKUP($D736,Sheet1!$G$5:$I$192,3,TRUE),1)</f>
        <v>10</v>
      </c>
      <c r="O736" s="41" t="str">
        <f>VLOOKUP($D736,Sheet1!$G$5:$I$192,2,TRUE)</f>
        <v>)|~</v>
      </c>
      <c r="P736" s="34">
        <v>1</v>
      </c>
      <c r="Q736" s="41" t="str">
        <f>VLOOKUP($D736,Sheet1!$J$5:$L$192,2,TRUE)</f>
        <v>)|~</v>
      </c>
      <c r="R736" s="34">
        <f>FLOOR(VLOOKUP($D736,Sheet1!$M$5:$O$192,3,TRUE),1)</f>
        <v>41</v>
      </c>
      <c r="S736" s="41" t="str">
        <f>VLOOKUP($D736,Sheet1!$M$5:$O$192,2,TRUE)</f>
        <v>)|~</v>
      </c>
      <c r="T736" s="114" t="str">
        <f>IF(ABS(D736-VLOOKUP($D736,Sheet1!$M$5:$T$192,8,TRUE))&lt;10^-10,"SoCA",D736-VLOOKUP($D736,Sheet1!$M$5:$T$192,8,TRUE))</f>
        <v>SoCA</v>
      </c>
      <c r="U736" s="126" t="str">
        <f>IF(VLOOKUP($D736,Sheet1!$M$5:$U$192,9,TRUE)=0,"",IF(ABS(D736-VLOOKUP($D736,Sheet1!$M$5:$U$192,9,TRUE))&lt;10^-10,"Alt.",D736-VLOOKUP($D736,Sheet1!$M$5:$U$192,9,TRUE)))</f>
        <v/>
      </c>
      <c r="V736" s="137">
        <f>$D736-Sheet1!$M$3*$R736</f>
        <v>7.7333937874485059E-2</v>
      </c>
      <c r="Z736" s="6"/>
      <c r="AA736" s="61"/>
    </row>
    <row r="737" spans="1:27" ht="13.5">
      <c r="A737" s="6" t="s">
        <v>688</v>
      </c>
      <c r="B737" s="6">
        <f>3^7*7</f>
        <v>15309</v>
      </c>
      <c r="C737" s="6">
        <f>2^7*11^2</f>
        <v>15488</v>
      </c>
      <c r="D737" s="13">
        <f t="shared" si="15"/>
        <v>20.124972202676439</v>
      </c>
      <c r="E737" s="61">
        <v>11</v>
      </c>
      <c r="F737" s="65">
        <v>38.880125456258256</v>
      </c>
      <c r="G737" s="6">
        <v>453</v>
      </c>
      <c r="H737" s="6">
        <v>533</v>
      </c>
      <c r="I737" s="65">
        <v>-8.2391678577843432</v>
      </c>
      <c r="J737" s="6">
        <f>VLOOKUP($D737,Sheet1!$A$5:$C$192,3,TRUE)</f>
        <v>4</v>
      </c>
      <c r="K737" s="42" t="str">
        <f>VLOOKUP($D737,Sheet1!$A$5:$C$192,2,TRUE)</f>
        <v>/|</v>
      </c>
      <c r="L737" s="6">
        <f>FLOOR(VLOOKUP($D737,Sheet1!$D$5:$F$192,3,TRUE),1)</f>
        <v>8</v>
      </c>
      <c r="M737" s="42" t="str">
        <f>VLOOKUP($D737,Sheet1!$D$5:$F$192,2,TRUE)</f>
        <v>)|~</v>
      </c>
      <c r="N737" s="23">
        <f>FLOOR(VLOOKUP($D737,Sheet1!$G$5:$I$192,3,TRUE),1)</f>
        <v>10</v>
      </c>
      <c r="O737" s="42" t="str">
        <f>VLOOKUP($D737,Sheet1!$G$5:$I$192,2,TRUE)</f>
        <v>)|~</v>
      </c>
      <c r="P737" s="23">
        <v>1</v>
      </c>
      <c r="Q737" s="43" t="str">
        <f>VLOOKUP($D737,Sheet1!$J$5:$L$192,2,TRUE)</f>
        <v>)|~</v>
      </c>
      <c r="R737" s="23">
        <f>FLOOR(VLOOKUP($D737,Sheet1!$M$5:$O$192,3,TRUE),1)</f>
        <v>41</v>
      </c>
      <c r="S737" s="42" t="str">
        <f>VLOOKUP($D737,Sheet1!$M$5:$O$192,2,TRUE)</f>
        <v>)|~</v>
      </c>
      <c r="T737" s="117">
        <f>IF(ABS(D737-VLOOKUP($D737,Sheet1!$M$5:$T$192,8,TRUE))&lt;10^-10,"SoCA",D737-VLOOKUP($D737,Sheet1!$M$5:$T$192,8,TRUE))</f>
        <v>4.2980546492131566E-2</v>
      </c>
      <c r="U737" s="109" t="str">
        <f>IF(VLOOKUP($D737,Sheet1!$M$5:$U$192,9,TRUE)=0,"",IF(ABS(D737-VLOOKUP($D737,Sheet1!$M$5:$U$192,9,TRUE))&lt;10^-10,"Alt.",D737-VLOOKUP($D737,Sheet1!$M$5:$U$192,9,TRUE)))</f>
        <v/>
      </c>
      <c r="V737" s="132">
        <f>$D737-Sheet1!$M$3*$R737</f>
        <v>0.12031448436661663</v>
      </c>
      <c r="Z737" s="6"/>
      <c r="AA737" s="61"/>
    </row>
    <row r="738" spans="1:27" ht="13.5">
      <c r="A738" s="40" t="s">
        <v>307</v>
      </c>
      <c r="B738" s="40">
        <f>3*29</f>
        <v>87</v>
      </c>
      <c r="C738" s="40">
        <f>2^3*11</f>
        <v>88</v>
      </c>
      <c r="D738" s="13">
        <f t="shared" si="15"/>
        <v>19.785747346282911</v>
      </c>
      <c r="E738" s="61">
        <v>29</v>
      </c>
      <c r="F738" s="65">
        <v>40.068689222504432</v>
      </c>
      <c r="G738" s="6">
        <v>150</v>
      </c>
      <c r="H738" s="6">
        <v>136</v>
      </c>
      <c r="I738" s="65">
        <v>-2.2182805475127569</v>
      </c>
      <c r="J738" s="6">
        <f>VLOOKUP($D738,Sheet1!$A$5:$C$192,3,TRUE)</f>
        <v>4</v>
      </c>
      <c r="K738" s="42" t="str">
        <f>VLOOKUP($D738,Sheet1!$A$5:$C$192,2,TRUE)</f>
        <v>/|</v>
      </c>
      <c r="L738" s="6">
        <f>FLOOR(VLOOKUP($D738,Sheet1!$D$5:$F$192,3,TRUE),1)</f>
        <v>8</v>
      </c>
      <c r="M738" s="42" t="str">
        <f>VLOOKUP($D738,Sheet1!$D$5:$F$192,2,TRUE)</f>
        <v>)|~</v>
      </c>
      <c r="N738" s="23">
        <f>FLOOR(VLOOKUP($D738,Sheet1!$G$5:$I$192,3,TRUE),1)</f>
        <v>10</v>
      </c>
      <c r="O738" s="42" t="str">
        <f>VLOOKUP($D738,Sheet1!$G$5:$I$192,2,TRUE)</f>
        <v>)|~</v>
      </c>
      <c r="P738" s="23">
        <v>1</v>
      </c>
      <c r="Q738" s="43" t="str">
        <f>VLOOKUP($D738,Sheet1!$J$5:$L$192,2,TRUE)</f>
        <v>)|~</v>
      </c>
      <c r="R738" s="40">
        <f>FLOOR(VLOOKUP($D738,Sheet1!$M$5:$O$192,3,TRUE),1)</f>
        <v>41</v>
      </c>
      <c r="S738" s="46" t="str">
        <f>VLOOKUP($D738,Sheet1!$M$5:$O$192,2,TRUE)</f>
        <v>./|'</v>
      </c>
      <c r="T738" s="115">
        <f>IF(ABS(D738-VLOOKUP($D738,Sheet1!$M$5:$T$192,8,TRUE))&lt;10^-10,"SoCA",D738-VLOOKUP($D738,Sheet1!$M$5:$T$192,8,TRUE))</f>
        <v>-0.18953762845253408</v>
      </c>
      <c r="U738" s="115">
        <f>IF(VLOOKUP($D738,Sheet1!$M$5:$U$192,9,TRUE)=0,"",IF(ABS(D738-VLOOKUP($D738,Sheet1!$M$5:$U$192,9,TRUE))&lt;10^-10,"Alt.",D738-VLOOKUP($D738,Sheet1!$M$5:$U$192,9,TRUE)))</f>
        <v>-0.16257733325009838</v>
      </c>
      <c r="V738" s="132">
        <f>$D738-Sheet1!$M$3*$R738</f>
        <v>-0.21891037202691166</v>
      </c>
      <c r="Z738" s="6"/>
      <c r="AA738" s="61"/>
    </row>
    <row r="739" spans="1:27" ht="13.5">
      <c r="A739" s="23" t="s">
        <v>523</v>
      </c>
      <c r="B739" s="23">
        <f>2*7*11*13</f>
        <v>2002</v>
      </c>
      <c r="C739" s="23">
        <f>3^4*5^2</f>
        <v>2025</v>
      </c>
      <c r="D739" s="13">
        <f t="shared" si="15"/>
        <v>19.775920588027081</v>
      </c>
      <c r="E739" s="61">
        <v>13</v>
      </c>
      <c r="F739" s="65">
        <v>49.43769491467441</v>
      </c>
      <c r="G739" s="6">
        <v>402</v>
      </c>
      <c r="H739" s="6">
        <v>365</v>
      </c>
      <c r="I739" s="65">
        <v>2.7823245217938841</v>
      </c>
      <c r="J739" s="6">
        <f>VLOOKUP($D739,Sheet1!$A$5:$C$192,3,TRUE)</f>
        <v>4</v>
      </c>
      <c r="K739" s="42" t="str">
        <f>VLOOKUP($D739,Sheet1!$A$5:$C$192,2,TRUE)</f>
        <v>/|</v>
      </c>
      <c r="L739" s="6">
        <f>FLOOR(VLOOKUP($D739,Sheet1!$D$5:$F$192,3,TRUE),1)</f>
        <v>8</v>
      </c>
      <c r="M739" s="42" t="str">
        <f>VLOOKUP($D739,Sheet1!$D$5:$F$192,2,TRUE)</f>
        <v>)|~</v>
      </c>
      <c r="N739" s="23">
        <f>FLOOR(VLOOKUP($D739,Sheet1!$G$5:$I$192,3,TRUE),1)</f>
        <v>10</v>
      </c>
      <c r="O739" s="42" t="str">
        <f>VLOOKUP($D739,Sheet1!$G$5:$I$192,2,TRUE)</f>
        <v>)|~</v>
      </c>
      <c r="P739" s="23">
        <v>1</v>
      </c>
      <c r="Q739" s="43" t="str">
        <f>VLOOKUP($D739,Sheet1!$J$5:$L$192,2,TRUE)</f>
        <v>)|~</v>
      </c>
      <c r="R739" s="23">
        <f>FLOOR(VLOOKUP($D739,Sheet1!$M$5:$O$192,3,TRUE),1)</f>
        <v>41</v>
      </c>
      <c r="S739" s="43" t="str">
        <f>VLOOKUP($D739,Sheet1!$M$5:$O$192,2,TRUE)</f>
        <v>./|'</v>
      </c>
      <c r="T739" s="117">
        <f>IF(ABS(D739-VLOOKUP($D739,Sheet1!$M$5:$T$192,8,TRUE))&lt;10^-10,"SoCA",D739-VLOOKUP($D739,Sheet1!$M$5:$T$192,8,TRUE))</f>
        <v>-0.19936438670836409</v>
      </c>
      <c r="U739" s="117">
        <f>IF(VLOOKUP($D739,Sheet1!$M$5:$U$192,9,TRUE)=0,"",IF(ABS(D739-VLOOKUP($D739,Sheet1!$M$5:$U$192,9,TRUE))&lt;10^-10,"Alt.",D739-VLOOKUP($D739,Sheet1!$M$5:$U$192,9,TRUE)))</f>
        <v>-0.17240409150592839</v>
      </c>
      <c r="V739" s="132">
        <f>$D739-Sheet1!$M$3*$R739</f>
        <v>-0.22873713028274167</v>
      </c>
      <c r="Z739" s="6"/>
      <c r="AA739" s="61"/>
    </row>
    <row r="740" spans="1:27" ht="13.5">
      <c r="A740" t="s">
        <v>1109</v>
      </c>
      <c r="B740">
        <v>81920</v>
      </c>
      <c r="C740">
        <v>82863</v>
      </c>
      <c r="D740" s="13">
        <f t="shared" si="15"/>
        <v>19.814805291109078</v>
      </c>
      <c r="E740" s="61">
        <v>31</v>
      </c>
      <c r="F740" s="65">
        <v>56.891654060453924</v>
      </c>
      <c r="G740" s="6">
        <v>1021</v>
      </c>
      <c r="H740" s="6">
        <v>958</v>
      </c>
      <c r="I740" s="65">
        <v>3.7799302489604392</v>
      </c>
      <c r="J740" s="6">
        <f>VLOOKUP($D740,Sheet1!$A$5:$C$192,3,TRUE)</f>
        <v>4</v>
      </c>
      <c r="K740" s="42" t="str">
        <f>VLOOKUP($D740,Sheet1!$A$5:$C$192,2,TRUE)</f>
        <v>/|</v>
      </c>
      <c r="L740" s="6">
        <f>FLOOR(VLOOKUP($D740,Sheet1!$D$5:$F$192,3,TRUE),1)</f>
        <v>8</v>
      </c>
      <c r="M740" s="42" t="str">
        <f>VLOOKUP($D740,Sheet1!$D$5:$F$192,2,TRUE)</f>
        <v>)|~</v>
      </c>
      <c r="N740" s="23">
        <f>FLOOR(VLOOKUP($D740,Sheet1!$G$5:$I$192,3,TRUE),1)</f>
        <v>10</v>
      </c>
      <c r="O740" s="42" t="str">
        <f>VLOOKUP($D740,Sheet1!$G$5:$I$192,2,TRUE)</f>
        <v>)|~</v>
      </c>
      <c r="P740" s="23">
        <v>1</v>
      </c>
      <c r="Q740" s="43" t="str">
        <f>VLOOKUP($D740,Sheet1!$J$5:$L$192,2,TRUE)</f>
        <v>)|~</v>
      </c>
      <c r="R740" s="23">
        <f>FLOOR(VLOOKUP($D740,Sheet1!$M$5:$O$192,3,TRUE),1)</f>
        <v>41</v>
      </c>
      <c r="S740" s="42" t="str">
        <f>VLOOKUP($D740,Sheet1!$M$5:$O$192,2,TRUE)</f>
        <v>./|'</v>
      </c>
      <c r="T740" s="117">
        <f>IF(ABS(D740-VLOOKUP($D740,Sheet1!$M$5:$T$192,8,TRUE))&lt;10^-10,"SoCA",D740-VLOOKUP($D740,Sheet1!$M$5:$T$192,8,TRUE))</f>
        <v>-0.16047968362636666</v>
      </c>
      <c r="U740" s="109">
        <f>IF(VLOOKUP($D740,Sheet1!$M$5:$U$192,9,TRUE)=0,"",IF(ABS(D740-VLOOKUP($D740,Sheet1!$M$5:$U$192,9,TRUE))&lt;10^-10,"Alt.",D740-VLOOKUP($D740,Sheet1!$M$5:$U$192,9,TRUE)))</f>
        <v>-0.13351938842393096</v>
      </c>
      <c r="V740" s="132">
        <f>$D740-Sheet1!$M$3*$R740</f>
        <v>-0.18985242720074424</v>
      </c>
      <c r="Z740" s="6"/>
      <c r="AA740" s="61"/>
    </row>
    <row r="741" spans="1:27" ht="13.5">
      <c r="A741" t="s">
        <v>540</v>
      </c>
      <c r="B741">
        <v>86</v>
      </c>
      <c r="C741">
        <v>87</v>
      </c>
      <c r="D741" s="13">
        <f t="shared" si="15"/>
        <v>20.014489375956469</v>
      </c>
      <c r="E741" s="61">
        <v>43</v>
      </c>
      <c r="F741" s="65">
        <v>72.037742846759969</v>
      </c>
      <c r="G741" s="6">
        <v>432</v>
      </c>
      <c r="H741" s="6">
        <v>383</v>
      </c>
      <c r="I741" s="65">
        <v>-0.23236502763234346</v>
      </c>
      <c r="J741" s="6">
        <f>VLOOKUP($D741,Sheet1!$A$5:$C$192,3,TRUE)</f>
        <v>4</v>
      </c>
      <c r="K741" s="42" t="str">
        <f>VLOOKUP($D741,Sheet1!$A$5:$C$192,2,TRUE)</f>
        <v>/|</v>
      </c>
      <c r="L741" s="6">
        <f>FLOOR(VLOOKUP($D741,Sheet1!$D$5:$F$192,3,TRUE),1)</f>
        <v>8</v>
      </c>
      <c r="M741" s="42" t="str">
        <f>VLOOKUP($D741,Sheet1!$D$5:$F$192,2,TRUE)</f>
        <v>)|~</v>
      </c>
      <c r="N741" s="23">
        <f>FLOOR(VLOOKUP($D741,Sheet1!$G$5:$I$192,3,TRUE),1)</f>
        <v>10</v>
      </c>
      <c r="O741" s="42" t="str">
        <f>VLOOKUP($D741,Sheet1!$G$5:$I$192,2,TRUE)</f>
        <v>)|~</v>
      </c>
      <c r="P741" s="23">
        <v>1</v>
      </c>
      <c r="Q741" s="43" t="str">
        <f>VLOOKUP($D741,Sheet1!$J$5:$L$192,2,TRUE)</f>
        <v>)|~</v>
      </c>
      <c r="R741" s="23">
        <f>FLOOR(VLOOKUP($D741,Sheet1!$M$5:$O$192,3,TRUE),1)</f>
        <v>41</v>
      </c>
      <c r="S741" s="42" t="str">
        <f>VLOOKUP($D741,Sheet1!$M$5:$O$192,2,TRUE)</f>
        <v>)|~</v>
      </c>
      <c r="T741" s="117">
        <f>IF(ABS(D741-VLOOKUP($D741,Sheet1!$M$5:$T$192,8,TRUE))&lt;10^-10,"SoCA",D741-VLOOKUP($D741,Sheet1!$M$5:$T$192,8,TRUE))</f>
        <v>-6.750228022783844E-2</v>
      </c>
      <c r="U741" s="109" t="str">
        <f>IF(VLOOKUP($D741,Sheet1!$M$5:$U$192,9,TRUE)=0,"",IF(ABS(D741-VLOOKUP($D741,Sheet1!$M$5:$U$192,9,TRUE))&lt;10^-10,"Alt.",D741-VLOOKUP($D741,Sheet1!$M$5:$U$192,9,TRUE)))</f>
        <v/>
      </c>
      <c r="V741" s="132">
        <f>$D741-Sheet1!$M$3*$R741</f>
        <v>9.8316576466466188E-3</v>
      </c>
      <c r="Z741" s="6"/>
      <c r="AA741" s="61"/>
    </row>
    <row r="742" spans="1:27" ht="13.5">
      <c r="A742" t="s">
        <v>590</v>
      </c>
      <c r="B742">
        <v>85</v>
      </c>
      <c r="C742">
        <v>86</v>
      </c>
      <c r="D742" s="13">
        <f t="shared" si="15"/>
        <v>20.248582277275347</v>
      </c>
      <c r="E742" s="61">
        <v>43</v>
      </c>
      <c r="F742" s="65">
        <v>78.039175071223028</v>
      </c>
      <c r="G742" s="6">
        <v>488</v>
      </c>
      <c r="H742" s="6">
        <v>435</v>
      </c>
      <c r="I742" s="65">
        <v>-1.2467789804134188</v>
      </c>
      <c r="J742" s="6">
        <f>VLOOKUP($D742,Sheet1!$A$5:$C$192,3,TRUE)</f>
        <v>4</v>
      </c>
      <c r="K742" s="42" t="str">
        <f>VLOOKUP($D742,Sheet1!$A$5:$C$192,2,TRUE)</f>
        <v>/|</v>
      </c>
      <c r="L742" s="6">
        <f>FLOOR(VLOOKUP($D742,Sheet1!$D$5:$F$192,3,TRUE),1)</f>
        <v>8</v>
      </c>
      <c r="M742" s="42" t="str">
        <f>VLOOKUP($D742,Sheet1!$D$5:$F$192,2,TRUE)</f>
        <v>)|~</v>
      </c>
      <c r="N742" s="23">
        <f>FLOOR(VLOOKUP($D742,Sheet1!$G$5:$I$192,3,TRUE),1)</f>
        <v>10</v>
      </c>
      <c r="O742" s="42" t="str">
        <f>VLOOKUP($D742,Sheet1!$G$5:$I$192,2,TRUE)</f>
        <v>)|~</v>
      </c>
      <c r="P742" s="23">
        <v>1</v>
      </c>
      <c r="Q742" s="43" t="str">
        <f>VLOOKUP($D742,Sheet1!$J$5:$L$192,2,TRUE)</f>
        <v>)|~</v>
      </c>
      <c r="R742" s="23">
        <f>FLOOR(VLOOKUP($D742,Sheet1!$M$5:$O$192,3,TRUE),1)</f>
        <v>41</v>
      </c>
      <c r="S742" s="42" t="str">
        <f>VLOOKUP($D742,Sheet1!$M$5:$O$192,2,TRUE)</f>
        <v>)|~</v>
      </c>
      <c r="T742" s="117">
        <f>IF(ABS(D742-VLOOKUP($D742,Sheet1!$M$5:$T$192,8,TRUE))&lt;10^-10,"SoCA",D742-VLOOKUP($D742,Sheet1!$M$5:$T$192,8,TRUE))</f>
        <v>0.16659062109103928</v>
      </c>
      <c r="U742" s="109" t="str">
        <f>IF(VLOOKUP($D742,Sheet1!$M$5:$U$192,9,TRUE)=0,"",IF(ABS(D742-VLOOKUP($D742,Sheet1!$M$5:$U$192,9,TRUE))&lt;10^-10,"Alt.",D742-VLOOKUP($D742,Sheet1!$M$5:$U$192,9,TRUE)))</f>
        <v/>
      </c>
      <c r="V742" s="132">
        <f>$D742-Sheet1!$M$3*$R742</f>
        <v>0.24392455896552434</v>
      </c>
      <c r="Z742" s="6"/>
      <c r="AA742" s="61"/>
    </row>
    <row r="743" spans="1:27" ht="13.5">
      <c r="A743" t="s">
        <v>1151</v>
      </c>
      <c r="B743">
        <v>113373</v>
      </c>
      <c r="C743">
        <v>114688</v>
      </c>
      <c r="D743" s="13">
        <f t="shared" si="15"/>
        <v>19.964816470942125</v>
      </c>
      <c r="E743" s="61">
        <v>19</v>
      </c>
      <c r="F743" s="65">
        <v>78.700085612488849</v>
      </c>
      <c r="G743" s="6">
        <v>1053</v>
      </c>
      <c r="H743" s="6">
        <v>1000</v>
      </c>
      <c r="I743" s="65">
        <v>-4.2293064859023648</v>
      </c>
      <c r="J743" s="6">
        <f>VLOOKUP($D743,Sheet1!$A$5:$C$192,3,TRUE)</f>
        <v>4</v>
      </c>
      <c r="K743" s="42" t="str">
        <f>VLOOKUP($D743,Sheet1!$A$5:$C$192,2,TRUE)</f>
        <v>/|</v>
      </c>
      <c r="L743" s="6">
        <f>FLOOR(VLOOKUP($D743,Sheet1!$D$5:$F$192,3,TRUE),1)</f>
        <v>8</v>
      </c>
      <c r="M743" s="42" t="str">
        <f>VLOOKUP($D743,Sheet1!$D$5:$F$192,2,TRUE)</f>
        <v>)|~</v>
      </c>
      <c r="N743" s="23">
        <f>FLOOR(VLOOKUP($D743,Sheet1!$G$5:$I$192,3,TRUE),1)</f>
        <v>10</v>
      </c>
      <c r="O743" s="42" t="str">
        <f>VLOOKUP($D743,Sheet1!$G$5:$I$192,2,TRUE)</f>
        <v>)|~</v>
      </c>
      <c r="P743" s="23">
        <v>1</v>
      </c>
      <c r="Q743" s="43" t="str">
        <f>VLOOKUP($D743,Sheet1!$J$5:$L$192,2,TRUE)</f>
        <v>)|~</v>
      </c>
      <c r="R743" s="23">
        <f>FLOOR(VLOOKUP($D743,Sheet1!$M$5:$O$192,3,TRUE),1)</f>
        <v>41</v>
      </c>
      <c r="S743" s="42" t="str">
        <f>VLOOKUP($D743,Sheet1!$M$5:$O$192,2,TRUE)</f>
        <v>)|~</v>
      </c>
      <c r="T743" s="117">
        <f>IF(ABS(D743-VLOOKUP($D743,Sheet1!$M$5:$T$192,8,TRUE))&lt;10^-10,"SoCA",D743-VLOOKUP($D743,Sheet1!$M$5:$T$192,8,TRUE))</f>
        <v>-0.11717518524218207</v>
      </c>
      <c r="U743" s="109" t="str">
        <f>IF(VLOOKUP($D743,Sheet1!$M$5:$U$192,9,TRUE)=0,"",IF(ABS(D743-VLOOKUP($D743,Sheet1!$M$5:$U$192,9,TRUE))&lt;10^-10,"Alt.",D743-VLOOKUP($D743,Sheet1!$M$5:$U$192,9,TRUE)))</f>
        <v/>
      </c>
      <c r="V743" s="132">
        <f>$D743-Sheet1!$M$3*$R743</f>
        <v>-3.9841247367697008E-2</v>
      </c>
      <c r="Z743" s="6"/>
      <c r="AA743" s="61"/>
    </row>
    <row r="744" spans="1:27" ht="13.5">
      <c r="A744" t="s">
        <v>1509</v>
      </c>
      <c r="B744">
        <v>518319</v>
      </c>
      <c r="C744">
        <v>524288</v>
      </c>
      <c r="D744" s="13">
        <f t="shared" si="15"/>
        <v>19.823095264377248</v>
      </c>
      <c r="E744" s="61" t="s">
        <v>1931</v>
      </c>
      <c r="F744" s="65">
        <v>105.14871410298031</v>
      </c>
      <c r="G744" s="6">
        <v>1282</v>
      </c>
      <c r="H744" s="6">
        <v>1358</v>
      </c>
      <c r="I744" s="65">
        <v>-9.2205801948956996</v>
      </c>
      <c r="J744" s="6">
        <f>VLOOKUP($D744,Sheet1!$A$5:$C$192,3,TRUE)</f>
        <v>4</v>
      </c>
      <c r="K744" s="42" t="str">
        <f>VLOOKUP($D744,Sheet1!$A$5:$C$192,2,TRUE)</f>
        <v>/|</v>
      </c>
      <c r="L744" s="6">
        <f>FLOOR(VLOOKUP($D744,Sheet1!$D$5:$F$192,3,TRUE),1)</f>
        <v>8</v>
      </c>
      <c r="M744" s="42" t="str">
        <f>VLOOKUP($D744,Sheet1!$D$5:$F$192,2,TRUE)</f>
        <v>)|~</v>
      </c>
      <c r="N744" s="23">
        <f>FLOOR(VLOOKUP($D744,Sheet1!$G$5:$I$192,3,TRUE),1)</f>
        <v>10</v>
      </c>
      <c r="O744" s="42" t="str">
        <f>VLOOKUP($D744,Sheet1!$G$5:$I$192,2,TRUE)</f>
        <v>)|~</v>
      </c>
      <c r="P744" s="23">
        <v>1</v>
      </c>
      <c r="Q744" s="43" t="str">
        <f>VLOOKUP($D744,Sheet1!$J$5:$L$192,2,TRUE)</f>
        <v>)|~</v>
      </c>
      <c r="R744" s="23">
        <f>FLOOR(VLOOKUP($D744,Sheet1!$M$5:$O$192,3,TRUE),1)</f>
        <v>41</v>
      </c>
      <c r="S744" s="42" t="str">
        <f>VLOOKUP($D744,Sheet1!$M$5:$O$192,2,TRUE)</f>
        <v>./|'</v>
      </c>
      <c r="T744" s="117">
        <f>IF(ABS(D744-VLOOKUP($D744,Sheet1!$M$5:$T$192,8,TRUE))&lt;10^-10,"SoCA",D744-VLOOKUP($D744,Sheet1!$M$5:$T$192,8,TRUE))</f>
        <v>-0.15218971035819706</v>
      </c>
      <c r="U744" s="109">
        <f>IF(VLOOKUP($D744,Sheet1!$M$5:$U$192,9,TRUE)=0,"",IF(ABS(D744-VLOOKUP($D744,Sheet1!$M$5:$U$192,9,TRUE))&lt;10^-10,"Alt.",D744-VLOOKUP($D744,Sheet1!$M$5:$U$192,9,TRUE)))</f>
        <v>-0.12522941515576136</v>
      </c>
      <c r="V744" s="132">
        <f>$D744-Sheet1!$M$3*$R744</f>
        <v>-0.18156245393257464</v>
      </c>
      <c r="Z744" s="6"/>
      <c r="AA744" s="61"/>
    </row>
    <row r="745" spans="1:27" ht="13.5">
      <c r="A745" t="s">
        <v>1392</v>
      </c>
      <c r="B745">
        <v>9306112</v>
      </c>
      <c r="C745">
        <v>9415035</v>
      </c>
      <c r="D745" s="13">
        <f t="shared" si="15"/>
        <v>20.145489393140998</v>
      </c>
      <c r="E745" s="61" t="s">
        <v>1931</v>
      </c>
      <c r="F745" s="65">
        <v>178.4671712326039</v>
      </c>
      <c r="G745" s="6">
        <v>1305</v>
      </c>
      <c r="H745" s="6">
        <v>1241</v>
      </c>
      <c r="I745" s="65">
        <v>6.7595688240505583</v>
      </c>
      <c r="J745" s="6">
        <f>VLOOKUP($D745,Sheet1!$A$5:$C$192,3,TRUE)</f>
        <v>4</v>
      </c>
      <c r="K745" s="42" t="str">
        <f>VLOOKUP($D745,Sheet1!$A$5:$C$192,2,TRUE)</f>
        <v>/|</v>
      </c>
      <c r="L745" s="6">
        <f>FLOOR(VLOOKUP($D745,Sheet1!$D$5:$F$192,3,TRUE),1)</f>
        <v>8</v>
      </c>
      <c r="M745" s="42" t="str">
        <f>VLOOKUP($D745,Sheet1!$D$5:$F$192,2,TRUE)</f>
        <v>)|~</v>
      </c>
      <c r="N745" s="23">
        <f>FLOOR(VLOOKUP($D745,Sheet1!$G$5:$I$192,3,TRUE),1)</f>
        <v>10</v>
      </c>
      <c r="O745" s="42" t="str">
        <f>VLOOKUP($D745,Sheet1!$G$5:$I$192,2,TRUE)</f>
        <v>)|~</v>
      </c>
      <c r="P745" s="23">
        <v>1</v>
      </c>
      <c r="Q745" s="43" t="str">
        <f>VLOOKUP($D745,Sheet1!$J$5:$L$192,2,TRUE)</f>
        <v>)|~</v>
      </c>
      <c r="R745" s="23">
        <f>FLOOR(VLOOKUP($D745,Sheet1!$M$5:$O$192,3,TRUE),1)</f>
        <v>41</v>
      </c>
      <c r="S745" s="42" t="str">
        <f>VLOOKUP($D745,Sheet1!$M$5:$O$192,2,TRUE)</f>
        <v>)|~</v>
      </c>
      <c r="T745" s="117">
        <f>IF(ABS(D745-VLOOKUP($D745,Sheet1!$M$5:$T$192,8,TRUE))&lt;10^-10,"SoCA",D745-VLOOKUP($D745,Sheet1!$M$5:$T$192,8,TRUE))</f>
        <v>6.3497736956691142E-2</v>
      </c>
      <c r="U745" s="109" t="str">
        <f>IF(VLOOKUP($D745,Sheet1!$M$5:$U$192,9,TRUE)=0,"",IF(ABS(D745-VLOOKUP($D745,Sheet1!$M$5:$U$192,9,TRUE))&lt;10^-10,"Alt.",D745-VLOOKUP($D745,Sheet1!$M$5:$U$192,9,TRUE)))</f>
        <v/>
      </c>
      <c r="V745" s="132">
        <f>$D745-Sheet1!$M$3*$R745</f>
        <v>0.1408316748311762</v>
      </c>
      <c r="Z745" s="6"/>
      <c r="AA745" s="61"/>
    </row>
    <row r="746" spans="1:27" ht="13.5">
      <c r="A746" t="s">
        <v>1346</v>
      </c>
      <c r="B746">
        <v>27459</v>
      </c>
      <c r="C746">
        <v>27776</v>
      </c>
      <c r="D746" s="13">
        <f t="shared" si="15"/>
        <v>19.871719708212911</v>
      </c>
      <c r="E746" s="61" t="s">
        <v>1931</v>
      </c>
      <c r="F746" s="65">
        <v>182.68295716313139</v>
      </c>
      <c r="G746" s="6">
        <v>1258</v>
      </c>
      <c r="H746" s="6">
        <v>1195</v>
      </c>
      <c r="I746" s="65">
        <v>-6.2235741790511545</v>
      </c>
      <c r="J746" s="6">
        <f>VLOOKUP($D746,Sheet1!$A$5:$C$192,3,TRUE)</f>
        <v>4</v>
      </c>
      <c r="K746" s="42" t="str">
        <f>VLOOKUP($D746,Sheet1!$A$5:$C$192,2,TRUE)</f>
        <v>/|</v>
      </c>
      <c r="L746" s="6">
        <f>FLOOR(VLOOKUP($D746,Sheet1!$D$5:$F$192,3,TRUE),1)</f>
        <v>8</v>
      </c>
      <c r="M746" s="42" t="str">
        <f>VLOOKUP($D746,Sheet1!$D$5:$F$192,2,TRUE)</f>
        <v>)|~</v>
      </c>
      <c r="N746" s="23">
        <f>FLOOR(VLOOKUP($D746,Sheet1!$G$5:$I$192,3,TRUE),1)</f>
        <v>10</v>
      </c>
      <c r="O746" s="42" t="str">
        <f>VLOOKUP($D746,Sheet1!$G$5:$I$192,2,TRUE)</f>
        <v>)|~</v>
      </c>
      <c r="P746" s="23">
        <v>1</v>
      </c>
      <c r="Q746" s="43" t="str">
        <f>VLOOKUP($D746,Sheet1!$J$5:$L$192,2,TRUE)</f>
        <v>)|~</v>
      </c>
      <c r="R746" s="23">
        <f>FLOOR(VLOOKUP($D746,Sheet1!$M$5:$O$192,3,TRUE),1)</f>
        <v>41</v>
      </c>
      <c r="S746" s="42" t="str">
        <f>VLOOKUP($D746,Sheet1!$M$5:$O$192,2,TRUE)</f>
        <v>./|'</v>
      </c>
      <c r="T746" s="117">
        <f>IF(ABS(D746-VLOOKUP($D746,Sheet1!$M$5:$T$192,8,TRUE))&lt;10^-10,"SoCA",D746-VLOOKUP($D746,Sheet1!$M$5:$T$192,8,TRUE))</f>
        <v>-0.10356526652253351</v>
      </c>
      <c r="U746" s="109">
        <f>IF(VLOOKUP($D746,Sheet1!$M$5:$U$192,9,TRUE)=0,"",IF(ABS(D746-VLOOKUP($D746,Sheet1!$M$5:$U$192,9,TRUE))&lt;10^-10,"Alt.",D746-VLOOKUP($D746,Sheet1!$M$5:$U$192,9,TRUE)))</f>
        <v>-7.6604971320097803E-2</v>
      </c>
      <c r="V746" s="132">
        <f>$D746-Sheet1!$M$3*$R746</f>
        <v>-0.13293801009691109</v>
      </c>
      <c r="Z746" s="6"/>
      <c r="AA746" s="61"/>
    </row>
    <row r="747" spans="1:27" ht="13.5">
      <c r="A747" s="6" t="s">
        <v>304</v>
      </c>
      <c r="B747" s="6">
        <f>2^9*11</f>
        <v>5632</v>
      </c>
      <c r="C747" s="6">
        <f>3^3*211</f>
        <v>5697</v>
      </c>
      <c r="D747" s="13">
        <f t="shared" si="15"/>
        <v>19.866086680027603</v>
      </c>
      <c r="E747" s="61" t="s">
        <v>1931</v>
      </c>
      <c r="F747" s="65">
        <v>222.17080122570027</v>
      </c>
      <c r="G747" s="6">
        <v>149</v>
      </c>
      <c r="H747" s="6">
        <v>133</v>
      </c>
      <c r="I747" s="65">
        <v>1.7767726670164541</v>
      </c>
      <c r="J747" s="6">
        <f>VLOOKUP($D747,Sheet1!$A$5:$C$192,3,TRUE)</f>
        <v>4</v>
      </c>
      <c r="K747" s="42" t="str">
        <f>VLOOKUP($D747,Sheet1!$A$5:$C$192,2,TRUE)</f>
        <v>/|</v>
      </c>
      <c r="L747" s="6">
        <f>FLOOR(VLOOKUP($D747,Sheet1!$D$5:$F$192,3,TRUE),1)</f>
        <v>8</v>
      </c>
      <c r="M747" s="42" t="str">
        <f>VLOOKUP($D747,Sheet1!$D$5:$F$192,2,TRUE)</f>
        <v>)|~</v>
      </c>
      <c r="N747" s="23">
        <f>FLOOR(VLOOKUP($D747,Sheet1!$G$5:$I$192,3,TRUE),1)</f>
        <v>10</v>
      </c>
      <c r="O747" s="42" t="str">
        <f>VLOOKUP($D747,Sheet1!$G$5:$I$192,2,TRUE)</f>
        <v>)|~</v>
      </c>
      <c r="P747" s="23">
        <v>1</v>
      </c>
      <c r="Q747" s="43" t="str">
        <f>VLOOKUP($D747,Sheet1!$J$5:$L$192,2,TRUE)</f>
        <v>)|~</v>
      </c>
      <c r="R747" s="23">
        <f>FLOOR(VLOOKUP($D747,Sheet1!$M$5:$O$192,3,TRUE),1)</f>
        <v>41</v>
      </c>
      <c r="S747" s="42" t="str">
        <f>VLOOKUP($D747,Sheet1!$M$5:$O$192,2,TRUE)</f>
        <v>./|'</v>
      </c>
      <c r="T747" s="117">
        <f>IF(ABS(D747-VLOOKUP($D747,Sheet1!$M$5:$T$192,8,TRUE))&lt;10^-10,"SoCA",D747-VLOOKUP($D747,Sheet1!$M$5:$T$192,8,TRUE))</f>
        <v>-0.10919829470784137</v>
      </c>
      <c r="U747" s="109">
        <f>IF(VLOOKUP($D747,Sheet1!$M$5:$U$192,9,TRUE)=0,"",IF(ABS(D747-VLOOKUP($D747,Sheet1!$M$5:$U$192,9,TRUE))&lt;10^-10,"Alt.",D747-VLOOKUP($D747,Sheet1!$M$5:$U$192,9,TRUE)))</f>
        <v>-8.2237999505405668E-2</v>
      </c>
      <c r="V747" s="132">
        <f>$D747-Sheet1!$M$3*$R747</f>
        <v>-0.13857103828221895</v>
      </c>
      <c r="Z747" s="6"/>
      <c r="AA747" s="61"/>
    </row>
    <row r="748" spans="1:27" ht="13.5">
      <c r="A748" t="s">
        <v>616</v>
      </c>
      <c r="B748">
        <v>6752</v>
      </c>
      <c r="C748">
        <v>6831</v>
      </c>
      <c r="D748" s="13">
        <f t="shared" si="15"/>
        <v>20.138265780712256</v>
      </c>
      <c r="E748" s="61" t="s">
        <v>1931</v>
      </c>
      <c r="F748" s="65">
        <v>294.17328391289482</v>
      </c>
      <c r="G748" s="6">
        <v>508</v>
      </c>
      <c r="H748" s="6">
        <v>461</v>
      </c>
      <c r="I748" s="65">
        <v>1.7600136081848492</v>
      </c>
      <c r="J748" s="6">
        <f>VLOOKUP($D748,Sheet1!$A$5:$C$192,3,TRUE)</f>
        <v>4</v>
      </c>
      <c r="K748" s="42" t="str">
        <f>VLOOKUP($D748,Sheet1!$A$5:$C$192,2,TRUE)</f>
        <v>/|</v>
      </c>
      <c r="L748" s="6">
        <f>FLOOR(VLOOKUP($D748,Sheet1!$D$5:$F$192,3,TRUE),1)</f>
        <v>8</v>
      </c>
      <c r="M748" s="42" t="str">
        <f>VLOOKUP($D748,Sheet1!$D$5:$F$192,2,TRUE)</f>
        <v>)|~</v>
      </c>
      <c r="N748" s="23">
        <f>FLOOR(VLOOKUP($D748,Sheet1!$G$5:$I$192,3,TRUE),1)</f>
        <v>10</v>
      </c>
      <c r="O748" s="42" t="str">
        <f>VLOOKUP($D748,Sheet1!$G$5:$I$192,2,TRUE)</f>
        <v>)|~</v>
      </c>
      <c r="P748" s="23">
        <v>1</v>
      </c>
      <c r="Q748" s="43" t="str">
        <f>VLOOKUP($D748,Sheet1!$J$5:$L$192,2,TRUE)</f>
        <v>)|~</v>
      </c>
      <c r="R748" s="23">
        <f>FLOOR(VLOOKUP($D748,Sheet1!$M$5:$O$192,3,TRUE),1)</f>
        <v>41</v>
      </c>
      <c r="S748" s="42" t="str">
        <f>VLOOKUP($D748,Sheet1!$M$5:$O$192,2,TRUE)</f>
        <v>)|~</v>
      </c>
      <c r="T748" s="117">
        <f>IF(ABS(D748-VLOOKUP($D748,Sheet1!$M$5:$T$192,8,TRUE))&lt;10^-10,"SoCA",D748-VLOOKUP($D748,Sheet1!$M$5:$T$192,8,TRUE))</f>
        <v>5.6274124527948999E-2</v>
      </c>
      <c r="U748" s="109" t="str">
        <f>IF(VLOOKUP($D748,Sheet1!$M$5:$U$192,9,TRUE)=0,"",IF(ABS(D748-VLOOKUP($D748,Sheet1!$M$5:$U$192,9,TRUE))&lt;10^-10,"Alt.",D748-VLOOKUP($D748,Sheet1!$M$5:$U$192,9,TRUE)))</f>
        <v/>
      </c>
      <c r="V748" s="132">
        <f>$D748-Sheet1!$M$3*$R748</f>
        <v>0.13360806240243406</v>
      </c>
      <c r="Z748" s="6"/>
      <c r="AA748" s="61"/>
    </row>
    <row r="749" spans="1:27" ht="13.5">
      <c r="A749" t="s">
        <v>1600</v>
      </c>
      <c r="B749">
        <v>13080756224</v>
      </c>
      <c r="C749">
        <v>13232821851</v>
      </c>
      <c r="D749" s="13">
        <f t="shared" si="15"/>
        <v>20.009754746388595</v>
      </c>
      <c r="E749" s="61" t="s">
        <v>1931</v>
      </c>
      <c r="F749" s="65">
        <v>18125.530644681505</v>
      </c>
      <c r="G749" s="6">
        <v>1506</v>
      </c>
      <c r="H749" s="6">
        <v>1449</v>
      </c>
      <c r="I749" s="65">
        <v>8.7679265007593443</v>
      </c>
      <c r="J749" s="6">
        <f>VLOOKUP($D749,Sheet1!$A$5:$C$192,3,TRUE)</f>
        <v>4</v>
      </c>
      <c r="K749" s="42" t="str">
        <f>VLOOKUP($D749,Sheet1!$A$5:$C$192,2,TRUE)</f>
        <v>/|</v>
      </c>
      <c r="L749" s="6">
        <f>FLOOR(VLOOKUP($D749,Sheet1!$D$5:$F$192,3,TRUE),1)</f>
        <v>8</v>
      </c>
      <c r="M749" s="42" t="str">
        <f>VLOOKUP($D749,Sheet1!$D$5:$F$192,2,TRUE)</f>
        <v>)|~</v>
      </c>
      <c r="N749" s="23">
        <f>FLOOR(VLOOKUP($D749,Sheet1!$G$5:$I$192,3,TRUE),1)</f>
        <v>10</v>
      </c>
      <c r="O749" s="42" t="str">
        <f>VLOOKUP($D749,Sheet1!$G$5:$I$192,2,TRUE)</f>
        <v>)|~</v>
      </c>
      <c r="P749" s="23">
        <v>1</v>
      </c>
      <c r="Q749" s="43" t="str">
        <f>VLOOKUP($D749,Sheet1!$J$5:$L$192,2,TRUE)</f>
        <v>)|~</v>
      </c>
      <c r="R749" s="23">
        <f>FLOOR(VLOOKUP($D749,Sheet1!$M$5:$O$192,3,TRUE),1)</f>
        <v>41</v>
      </c>
      <c r="S749" s="42" t="str">
        <f>VLOOKUP($D749,Sheet1!$M$5:$O$192,2,TRUE)</f>
        <v>)|~</v>
      </c>
      <c r="T749" s="117">
        <f>IF(ABS(D749-VLOOKUP($D749,Sheet1!$M$5:$T$192,8,TRUE))&lt;10^-10,"SoCA",D749-VLOOKUP($D749,Sheet1!$M$5:$T$192,8,TRUE))</f>
        <v>-7.2236909795712734E-2</v>
      </c>
      <c r="U749" s="109" t="str">
        <f>IF(VLOOKUP($D749,Sheet1!$M$5:$U$192,9,TRUE)=0,"",IF(ABS(D749-VLOOKUP($D749,Sheet1!$M$5:$U$192,9,TRUE))&lt;10^-10,"Alt.",D749-VLOOKUP($D749,Sheet1!$M$5:$U$192,9,TRUE)))</f>
        <v/>
      </c>
      <c r="V749" s="132">
        <f>$D749-Sheet1!$M$3*$R749</f>
        <v>5.0970280787723254E-3</v>
      </c>
      <c r="Z749" s="6"/>
      <c r="AA749" s="61"/>
    </row>
    <row r="750" spans="1:27" ht="13.5">
      <c r="A750" s="38" t="s">
        <v>845</v>
      </c>
      <c r="B750" s="38">
        <f>11*23</f>
        <v>253</v>
      </c>
      <c r="C750" s="38">
        <f>2^8</f>
        <v>256</v>
      </c>
      <c r="D750" s="13">
        <f t="shared" si="15"/>
        <v>20.407710366827729</v>
      </c>
      <c r="E750" s="61">
        <v>23</v>
      </c>
      <c r="F750" s="65">
        <v>47.633547675410071</v>
      </c>
      <c r="G750" s="6">
        <v>763</v>
      </c>
      <c r="H750" s="6">
        <v>692</v>
      </c>
      <c r="I750" s="65">
        <v>-1.2565770766223525</v>
      </c>
      <c r="J750" s="6">
        <f>VLOOKUP($D750,Sheet1!$A$5:$C$192,3,TRUE)</f>
        <v>4</v>
      </c>
      <c r="K750" s="42" t="str">
        <f>VLOOKUP($D750,Sheet1!$A$5:$C$192,2,TRUE)</f>
        <v>/|</v>
      </c>
      <c r="L750" s="6">
        <f>FLOOR(VLOOKUP($D750,Sheet1!$D$5:$F$192,3,TRUE),1)</f>
        <v>9</v>
      </c>
      <c r="M750" s="42" t="str">
        <f>VLOOKUP($D750,Sheet1!$D$5:$F$192,2,TRUE)</f>
        <v>/|</v>
      </c>
      <c r="N750" s="23">
        <f>FLOOR(VLOOKUP($D750,Sheet1!$G$5:$I$192,3,TRUE),1)</f>
        <v>11</v>
      </c>
      <c r="O750" s="42" t="str">
        <f>VLOOKUP($D750,Sheet1!$G$5:$I$192,2,TRUE)</f>
        <v>/|</v>
      </c>
      <c r="P750" s="23">
        <v>1</v>
      </c>
      <c r="Q750" s="45" t="str">
        <f>VLOOKUP($D750,Sheet1!$J$5:$L$192,2,TRUE)</f>
        <v>/|..</v>
      </c>
      <c r="R750" s="38">
        <f>FLOOR(VLOOKUP($D750,Sheet1!$M$5:$O$192,3,TRUE),1)</f>
        <v>42</v>
      </c>
      <c r="S750" s="45" t="str">
        <f>VLOOKUP($D750,Sheet1!$M$5:$O$192,2,TRUE)</f>
        <v>/|..</v>
      </c>
      <c r="T750" s="128">
        <f>IF(ABS(D750-VLOOKUP($D750,Sheet1!$M$5:$T$192,8,TRUE))&lt;10^-10,"SoCA",D750-VLOOKUP($D750,Sheet1!$M$5:$T$192,8,TRUE))</f>
        <v>-0.2660550257854517</v>
      </c>
      <c r="U750" s="108" t="str">
        <f>IF(VLOOKUP($D750,Sheet1!$M$5:$U$192,9,TRUE)=0,"",IF(ABS(D750-VLOOKUP($D750,Sheet1!$M$5:$U$192,9,TRUE))&lt;10^-10,"Alt.",D750-VLOOKUP($D750,Sheet1!$M$5:$U$192,9,TRUE)))</f>
        <v/>
      </c>
      <c r="V750" s="133">
        <f>$D750-Sheet1!$M$3*$R750</f>
        <v>-8.4865832416479492E-2</v>
      </c>
      <c r="Z750" s="6"/>
      <c r="AA750" s="61"/>
    </row>
    <row r="751" spans="1:27" ht="13.5">
      <c r="A751" s="23" t="s">
        <v>1492</v>
      </c>
      <c r="B751" s="23">
        <f>2^21*5</f>
        <v>10485760</v>
      </c>
      <c r="C751" s="23">
        <f>3^9*7^2*11</f>
        <v>10609137</v>
      </c>
      <c r="D751" s="13">
        <f t="shared" si="15"/>
        <v>20.251049226658431</v>
      </c>
      <c r="E751" s="61">
        <v>11</v>
      </c>
      <c r="F751" s="65">
        <v>48.966418198391381</v>
      </c>
      <c r="G751" s="6">
        <v>1404</v>
      </c>
      <c r="H751" s="6">
        <v>1341</v>
      </c>
      <c r="I751" s="65">
        <v>7.7530691205254785</v>
      </c>
      <c r="J751" s="6">
        <f>VLOOKUP($D751,Sheet1!$A$5:$C$192,3,TRUE)</f>
        <v>4</v>
      </c>
      <c r="K751" s="42" t="str">
        <f>VLOOKUP($D751,Sheet1!$A$5:$C$192,2,TRUE)</f>
        <v>/|</v>
      </c>
      <c r="L751" s="6">
        <f>FLOOR(VLOOKUP($D751,Sheet1!$D$5:$F$192,3,TRUE),1)</f>
        <v>9</v>
      </c>
      <c r="M751" s="42" t="str">
        <f>VLOOKUP($D751,Sheet1!$D$5:$F$192,2,TRUE)</f>
        <v>/|</v>
      </c>
      <c r="N751" s="23">
        <f>FLOOR(VLOOKUP($D751,Sheet1!$G$5:$I$192,3,TRUE),1)</f>
        <v>11</v>
      </c>
      <c r="O751" s="42" t="str">
        <f>VLOOKUP($D751,Sheet1!$G$5:$I$192,2,TRUE)</f>
        <v>/|</v>
      </c>
      <c r="P751" s="23">
        <v>1</v>
      </c>
      <c r="Q751" s="43" t="str">
        <f>VLOOKUP($D751,Sheet1!$J$5:$L$192,2,TRUE)</f>
        <v>/|..</v>
      </c>
      <c r="R751" s="23">
        <f>FLOOR(VLOOKUP($D751,Sheet1!$M$5:$O$192,3,TRUE),1)</f>
        <v>42</v>
      </c>
      <c r="S751" s="43" t="str">
        <f>VLOOKUP($D751,Sheet1!$M$5:$O$192,2,TRUE)</f>
        <v>/|..</v>
      </c>
      <c r="T751" s="117">
        <f>IF(ABS(D751-VLOOKUP($D751,Sheet1!$M$5:$T$192,8,TRUE))&lt;10^-10,"SoCA",D751-VLOOKUP($D751,Sheet1!$M$5:$T$192,8,TRUE))</f>
        <v>-0.42271616595474981</v>
      </c>
      <c r="U751" s="117" t="str">
        <f>IF(VLOOKUP($D751,Sheet1!$M$5:$U$192,9,TRUE)=0,"",IF(ABS(D751-VLOOKUP($D751,Sheet1!$M$5:$U$192,9,TRUE))&lt;10^-10,"Alt.",D751-VLOOKUP($D751,Sheet1!$M$5:$U$192,9,TRUE)))</f>
        <v/>
      </c>
      <c r="V751" s="132">
        <f>$D751-Sheet1!$M$3*$R751</f>
        <v>-0.2415269725857776</v>
      </c>
      <c r="Z751" s="6"/>
      <c r="AA751" s="61"/>
    </row>
    <row r="752" spans="1:27" ht="13.5">
      <c r="A752" s="23" t="s">
        <v>931</v>
      </c>
      <c r="B752" s="23">
        <f>3^5*5^4</f>
        <v>151875</v>
      </c>
      <c r="C752" s="23">
        <f>2^6*7^4</f>
        <v>153664</v>
      </c>
      <c r="D752" s="13">
        <f t="shared" si="15"/>
        <v>20.273766090223184</v>
      </c>
      <c r="E752" s="61">
        <v>7</v>
      </c>
      <c r="F752" s="65">
        <v>49.167227149692458</v>
      </c>
      <c r="G752" s="6">
        <v>662</v>
      </c>
      <c r="H752" s="6">
        <v>779</v>
      </c>
      <c r="I752" s="65">
        <v>-6.2483296395262435</v>
      </c>
      <c r="J752" s="6">
        <f>VLOOKUP($D752,Sheet1!$A$5:$C$192,3,TRUE)</f>
        <v>4</v>
      </c>
      <c r="K752" s="42" t="str">
        <f>VLOOKUP($D752,Sheet1!$A$5:$C$192,2,TRUE)</f>
        <v>/|</v>
      </c>
      <c r="L752" s="6">
        <f>FLOOR(VLOOKUP($D752,Sheet1!$D$5:$F$192,3,TRUE),1)</f>
        <v>9</v>
      </c>
      <c r="M752" s="42" t="str">
        <f>VLOOKUP($D752,Sheet1!$D$5:$F$192,2,TRUE)</f>
        <v>/|</v>
      </c>
      <c r="N752" s="23">
        <f>FLOOR(VLOOKUP($D752,Sheet1!$G$5:$I$192,3,TRUE),1)</f>
        <v>11</v>
      </c>
      <c r="O752" s="42" t="str">
        <f>VLOOKUP($D752,Sheet1!$G$5:$I$192,2,TRUE)</f>
        <v>/|</v>
      </c>
      <c r="P752" s="23">
        <v>1</v>
      </c>
      <c r="Q752" s="43" t="str">
        <f>VLOOKUP($D752,Sheet1!$J$5:$L$192,2,TRUE)</f>
        <v>/|..</v>
      </c>
      <c r="R752" s="23">
        <f>FLOOR(VLOOKUP($D752,Sheet1!$M$5:$O$192,3,TRUE),1)</f>
        <v>42</v>
      </c>
      <c r="S752" s="43" t="str">
        <f>VLOOKUP($D752,Sheet1!$M$5:$O$192,2,TRUE)</f>
        <v>/|..</v>
      </c>
      <c r="T752" s="117">
        <f>IF(ABS(D752-VLOOKUP($D752,Sheet1!$M$5:$T$192,8,TRUE))&lt;10^-10,"SoCA",D752-VLOOKUP($D752,Sheet1!$M$5:$T$192,8,TRUE))</f>
        <v>-0.39999930238999681</v>
      </c>
      <c r="U752" s="117" t="str">
        <f>IF(VLOOKUP($D752,Sheet1!$M$5:$U$192,9,TRUE)=0,"",IF(ABS(D752-VLOOKUP($D752,Sheet1!$M$5:$U$192,9,TRUE))&lt;10^-10,"Alt.",D752-VLOOKUP($D752,Sheet1!$M$5:$U$192,9,TRUE)))</f>
        <v/>
      </c>
      <c r="V752" s="132">
        <f>$D752-Sheet1!$M$3*$R752</f>
        <v>-0.2188101090210246</v>
      </c>
      <c r="Z752" s="6"/>
      <c r="AA752" s="61"/>
    </row>
    <row r="753" spans="1:27" ht="13.5">
      <c r="A753" s="23" t="s">
        <v>1656</v>
      </c>
      <c r="B753" s="23">
        <f>3^8*5*19</f>
        <v>623295</v>
      </c>
      <c r="C753" s="23">
        <f>2^13*7*11</f>
        <v>630784</v>
      </c>
      <c r="D753" s="13">
        <f t="shared" si="15"/>
        <v>20.677111913645021</v>
      </c>
      <c r="E753" s="61">
        <v>19</v>
      </c>
      <c r="F753" s="65">
        <v>51.143063230677157</v>
      </c>
      <c r="G753" s="6">
        <v>1563</v>
      </c>
      <c r="H753" s="6">
        <v>1505</v>
      </c>
      <c r="I753" s="65">
        <v>-9.2731651113431646</v>
      </c>
      <c r="J753" s="6">
        <f>VLOOKUP($D753,Sheet1!$A$5:$C$192,3,TRUE)</f>
        <v>4</v>
      </c>
      <c r="K753" s="42" t="str">
        <f>VLOOKUP($D753,Sheet1!$A$5:$C$192,2,TRUE)</f>
        <v>/|</v>
      </c>
      <c r="L753" s="6">
        <f>FLOOR(VLOOKUP($D753,Sheet1!$D$5:$F$192,3,TRUE),1)</f>
        <v>9</v>
      </c>
      <c r="M753" s="42" t="str">
        <f>VLOOKUP($D753,Sheet1!$D$5:$F$192,2,TRUE)</f>
        <v>/|</v>
      </c>
      <c r="N753" s="23">
        <f>FLOOR(VLOOKUP($D753,Sheet1!$G$5:$I$192,3,TRUE),1)</f>
        <v>11</v>
      </c>
      <c r="O753" s="42" t="str">
        <f>VLOOKUP($D753,Sheet1!$G$5:$I$192,2,TRUE)</f>
        <v>/|</v>
      </c>
      <c r="P753" s="23">
        <v>1</v>
      </c>
      <c r="Q753" s="43" t="str">
        <f>VLOOKUP($D753,Sheet1!$J$5:$L$192,2,TRUE)</f>
        <v>/|..</v>
      </c>
      <c r="R753" s="23">
        <f>FLOOR(VLOOKUP($D753,Sheet1!$M$5:$O$192,3,TRUE),1)</f>
        <v>42</v>
      </c>
      <c r="S753" s="43" t="str">
        <f>VLOOKUP($D753,Sheet1!$M$5:$O$192,2,TRUE)</f>
        <v>/|..</v>
      </c>
      <c r="T753" s="117">
        <f>IF(ABS(D753-VLOOKUP($D753,Sheet1!$M$5:$T$192,8,TRUE))&lt;10^-10,"SoCA",D753-VLOOKUP($D753,Sheet1!$M$5:$T$192,8,TRUE))</f>
        <v>3.3465210318404104E-3</v>
      </c>
      <c r="U753" s="117" t="str">
        <f>IF(VLOOKUP($D753,Sheet1!$M$5:$U$192,9,TRUE)=0,"",IF(ABS(D753-VLOOKUP($D753,Sheet1!$M$5:$U$192,9,TRUE))&lt;10^-10,"Alt.",D753-VLOOKUP($D753,Sheet1!$M$5:$U$192,9,TRUE)))</f>
        <v/>
      </c>
      <c r="V753" s="132">
        <f>$D753-Sheet1!$M$3*$R753</f>
        <v>0.18453571440081262</v>
      </c>
      <c r="Z753" s="6"/>
      <c r="AA753" s="61"/>
    </row>
    <row r="754" spans="1:27" ht="13.5">
      <c r="A754" s="23" t="s">
        <v>88</v>
      </c>
      <c r="B754" s="23">
        <f>13^2</f>
        <v>169</v>
      </c>
      <c r="C754" s="23">
        <f>3^2*19</f>
        <v>171</v>
      </c>
      <c r="D754" s="13">
        <f t="shared" si="15"/>
        <v>20.367694324456348</v>
      </c>
      <c r="E754" s="61">
        <v>19</v>
      </c>
      <c r="F754" s="65">
        <v>54.060372850418851</v>
      </c>
      <c r="G754" s="6">
        <v>454</v>
      </c>
      <c r="H754" s="6">
        <v>415</v>
      </c>
      <c r="I754" s="65">
        <v>0.74588685689283296</v>
      </c>
      <c r="J754" s="6">
        <f>VLOOKUP($D754,Sheet1!$A$5:$C$192,3,TRUE)</f>
        <v>4</v>
      </c>
      <c r="K754" s="42" t="str">
        <f>VLOOKUP($D754,Sheet1!$A$5:$C$192,2,TRUE)</f>
        <v>/|</v>
      </c>
      <c r="L754" s="6">
        <f>FLOOR(VLOOKUP($D754,Sheet1!$D$5:$F$192,3,TRUE),1)</f>
        <v>9</v>
      </c>
      <c r="M754" s="42" t="str">
        <f>VLOOKUP($D754,Sheet1!$D$5:$F$192,2,TRUE)</f>
        <v>/|</v>
      </c>
      <c r="N754" s="23">
        <f>FLOOR(VLOOKUP($D754,Sheet1!$G$5:$I$192,3,TRUE),1)</f>
        <v>11</v>
      </c>
      <c r="O754" s="42" t="str">
        <f>VLOOKUP($D754,Sheet1!$G$5:$I$192,2,TRUE)</f>
        <v>/|</v>
      </c>
      <c r="P754" s="23">
        <v>1</v>
      </c>
      <c r="Q754" s="43" t="str">
        <f>VLOOKUP($D754,Sheet1!$J$5:$L$192,2,TRUE)</f>
        <v>/|..</v>
      </c>
      <c r="R754" s="23">
        <f>FLOOR(VLOOKUP($D754,Sheet1!$M$5:$O$192,3,TRUE),1)</f>
        <v>42</v>
      </c>
      <c r="S754" s="43" t="str">
        <f>VLOOKUP($D754,Sheet1!$M$5:$O$192,2,TRUE)</f>
        <v>/|..</v>
      </c>
      <c r="T754" s="117">
        <f>IF(ABS(D754-VLOOKUP($D754,Sheet1!$M$5:$T$192,8,TRUE))&lt;10^-10,"SoCA",D754-VLOOKUP($D754,Sheet1!$M$5:$T$192,8,TRUE))</f>
        <v>-0.30607106815683238</v>
      </c>
      <c r="U754" s="117" t="str">
        <f>IF(VLOOKUP($D754,Sheet1!$M$5:$U$192,9,TRUE)=0,"",IF(ABS(D754-VLOOKUP($D754,Sheet1!$M$5:$U$192,9,TRUE))&lt;10^-10,"Alt.",D754-VLOOKUP($D754,Sheet1!$M$5:$U$192,9,TRUE)))</f>
        <v/>
      </c>
      <c r="V754" s="134">
        <f>$D754-Sheet1!$M$3*$R754</f>
        <v>-0.12488187478786017</v>
      </c>
      <c r="Z754" s="6"/>
      <c r="AA754" s="61"/>
    </row>
    <row r="755" spans="1:27" ht="13.5">
      <c r="A755" s="6" t="s">
        <v>901</v>
      </c>
      <c r="B755" s="6">
        <f>2^6*11*13</f>
        <v>9152</v>
      </c>
      <c r="C755" s="6">
        <f>3^3*7^3</f>
        <v>9261</v>
      </c>
      <c r="D755" s="13">
        <f t="shared" si="15"/>
        <v>20.497117869469676</v>
      </c>
      <c r="E755" s="61">
        <v>13</v>
      </c>
      <c r="F755" s="65">
        <v>54.120549219449295</v>
      </c>
      <c r="G755" s="6">
        <v>808</v>
      </c>
      <c r="H755" s="6">
        <v>749</v>
      </c>
      <c r="I755" s="65">
        <v>1.7379177777107164</v>
      </c>
      <c r="J755" s="6">
        <f>VLOOKUP($D755,Sheet1!$A$5:$C$192,3,TRUE)</f>
        <v>4</v>
      </c>
      <c r="K755" s="42" t="str">
        <f>VLOOKUP($D755,Sheet1!$A$5:$C$192,2,TRUE)</f>
        <v>/|</v>
      </c>
      <c r="L755" s="6">
        <f>FLOOR(VLOOKUP($D755,Sheet1!$D$5:$F$192,3,TRUE),1)</f>
        <v>9</v>
      </c>
      <c r="M755" s="42" t="str">
        <f>VLOOKUP($D755,Sheet1!$D$5:$F$192,2,TRUE)</f>
        <v>/|</v>
      </c>
      <c r="N755" s="23">
        <f>FLOOR(VLOOKUP($D755,Sheet1!$G$5:$I$192,3,TRUE),1)</f>
        <v>11</v>
      </c>
      <c r="O755" s="42" t="str">
        <f>VLOOKUP($D755,Sheet1!$G$5:$I$192,2,TRUE)</f>
        <v>/|</v>
      </c>
      <c r="P755" s="23">
        <v>1</v>
      </c>
      <c r="Q755" s="43" t="str">
        <f>VLOOKUP($D755,Sheet1!$J$5:$L$192,2,TRUE)</f>
        <v>/|..</v>
      </c>
      <c r="R755" s="23">
        <f>FLOOR(VLOOKUP($D755,Sheet1!$M$5:$O$192,3,TRUE),1)</f>
        <v>42</v>
      </c>
      <c r="S755" s="42" t="str">
        <f>VLOOKUP($D755,Sheet1!$M$5:$O$192,2,TRUE)</f>
        <v>/|..</v>
      </c>
      <c r="T755" s="117">
        <f>IF(ABS(D755-VLOOKUP($D755,Sheet1!$M$5:$T$192,8,TRUE))&lt;10^-10,"SoCA",D755-VLOOKUP($D755,Sheet1!$M$5:$T$192,8,TRUE))</f>
        <v>-0.17664752314350451</v>
      </c>
      <c r="U755" s="109" t="str">
        <f>IF(VLOOKUP($D755,Sheet1!$M$5:$U$192,9,TRUE)=0,"",IF(ABS(D755-VLOOKUP($D755,Sheet1!$M$5:$U$192,9,TRUE))&lt;10^-10,"Alt.",D755-VLOOKUP($D755,Sheet1!$M$5:$U$192,9,TRUE)))</f>
        <v/>
      </c>
      <c r="V755" s="134">
        <f>$D755-Sheet1!$M$3*$R755</f>
        <v>4.5416702254676977E-3</v>
      </c>
      <c r="Z755" s="6"/>
      <c r="AA755" s="61"/>
    </row>
    <row r="756" spans="1:27" ht="13.5">
      <c r="A756" t="s">
        <v>1317</v>
      </c>
      <c r="B756">
        <v>841995</v>
      </c>
      <c r="C756">
        <v>851968</v>
      </c>
      <c r="D756" s="13">
        <f t="shared" si="15"/>
        <v>20.385093012882187</v>
      </c>
      <c r="E756" s="61">
        <v>13</v>
      </c>
      <c r="F756" s="65">
        <v>54.755926026059917</v>
      </c>
      <c r="G756" s="6">
        <v>1087</v>
      </c>
      <c r="H756" s="6">
        <v>1166</v>
      </c>
      <c r="I756" s="65">
        <v>-8.2551844437404185</v>
      </c>
      <c r="J756" s="6">
        <f>VLOOKUP($D756,Sheet1!$A$5:$C$192,3,TRUE)</f>
        <v>4</v>
      </c>
      <c r="K756" s="42" t="str">
        <f>VLOOKUP($D756,Sheet1!$A$5:$C$192,2,TRUE)</f>
        <v>/|</v>
      </c>
      <c r="L756" s="6">
        <f>FLOOR(VLOOKUP($D756,Sheet1!$D$5:$F$192,3,TRUE),1)</f>
        <v>9</v>
      </c>
      <c r="M756" s="42" t="str">
        <f>VLOOKUP($D756,Sheet1!$D$5:$F$192,2,TRUE)</f>
        <v>/|</v>
      </c>
      <c r="N756" s="23">
        <f>FLOOR(VLOOKUP($D756,Sheet1!$G$5:$I$192,3,TRUE),1)</f>
        <v>11</v>
      </c>
      <c r="O756" s="42" t="str">
        <f>VLOOKUP($D756,Sheet1!$G$5:$I$192,2,TRUE)</f>
        <v>/|</v>
      </c>
      <c r="P756" s="23">
        <v>1</v>
      </c>
      <c r="Q756" s="43" t="str">
        <f>VLOOKUP($D756,Sheet1!$J$5:$L$192,2,TRUE)</f>
        <v>/|..</v>
      </c>
      <c r="R756" s="23">
        <f>FLOOR(VLOOKUP($D756,Sheet1!$M$5:$O$192,3,TRUE),1)</f>
        <v>42</v>
      </c>
      <c r="S756" s="42" t="str">
        <f>VLOOKUP($D756,Sheet1!$M$5:$O$192,2,TRUE)</f>
        <v>/|..</v>
      </c>
      <c r="T756" s="117">
        <f>IF(ABS(D756-VLOOKUP($D756,Sheet1!$M$5:$T$192,8,TRUE))&lt;10^-10,"SoCA",D756-VLOOKUP($D756,Sheet1!$M$5:$T$192,8,TRUE))</f>
        <v>-0.28867237973099336</v>
      </c>
      <c r="U756" s="109" t="str">
        <f>IF(VLOOKUP($D756,Sheet1!$M$5:$U$192,9,TRUE)=0,"",IF(ABS(D756-VLOOKUP($D756,Sheet1!$M$5:$U$192,9,TRUE))&lt;10^-10,"Alt.",D756-VLOOKUP($D756,Sheet1!$M$5:$U$192,9,TRUE)))</f>
        <v/>
      </c>
      <c r="V756" s="132">
        <f>$D756-Sheet1!$M$3*$R756</f>
        <v>-0.10748318636202114</v>
      </c>
      <c r="Z756" s="6"/>
      <c r="AA756" s="61"/>
    </row>
    <row r="757" spans="1:27" ht="13.5">
      <c r="A757" t="s">
        <v>1710</v>
      </c>
      <c r="B757">
        <v>6127616</v>
      </c>
      <c r="C757">
        <v>6200145</v>
      </c>
      <c r="D757" s="13">
        <f t="shared" si="15"/>
        <v>20.371277988057304</v>
      </c>
      <c r="E757" s="61">
        <v>17</v>
      </c>
      <c r="F757" s="65">
        <v>70.006514531337814</v>
      </c>
      <c r="G757" s="6">
        <v>1608</v>
      </c>
      <c r="H757" s="6">
        <v>1559</v>
      </c>
      <c r="I757" s="65">
        <v>9.7456661976689247</v>
      </c>
      <c r="J757" s="6">
        <f>VLOOKUP($D757,Sheet1!$A$5:$C$192,3,TRUE)</f>
        <v>4</v>
      </c>
      <c r="K757" s="42" t="str">
        <f>VLOOKUP($D757,Sheet1!$A$5:$C$192,2,TRUE)</f>
        <v>/|</v>
      </c>
      <c r="L757" s="6">
        <f>FLOOR(VLOOKUP($D757,Sheet1!$D$5:$F$192,3,TRUE),1)</f>
        <v>9</v>
      </c>
      <c r="M757" s="42" t="str">
        <f>VLOOKUP($D757,Sheet1!$D$5:$F$192,2,TRUE)</f>
        <v>/|</v>
      </c>
      <c r="N757" s="23">
        <f>FLOOR(VLOOKUP($D757,Sheet1!$G$5:$I$192,3,TRUE),1)</f>
        <v>11</v>
      </c>
      <c r="O757" s="42" t="str">
        <f>VLOOKUP($D757,Sheet1!$G$5:$I$192,2,TRUE)</f>
        <v>/|</v>
      </c>
      <c r="P757" s="23">
        <v>1</v>
      </c>
      <c r="Q757" s="43" t="str">
        <f>VLOOKUP($D757,Sheet1!$J$5:$L$192,2,TRUE)</f>
        <v>/|..</v>
      </c>
      <c r="R757" s="23">
        <f>FLOOR(VLOOKUP($D757,Sheet1!$M$5:$O$192,3,TRUE),1)</f>
        <v>42</v>
      </c>
      <c r="S757" s="42" t="str">
        <f>VLOOKUP($D757,Sheet1!$M$5:$O$192,2,TRUE)</f>
        <v>/|..</v>
      </c>
      <c r="T757" s="117">
        <f>IF(ABS(D757-VLOOKUP($D757,Sheet1!$M$5:$T$192,8,TRUE))&lt;10^-10,"SoCA",D757-VLOOKUP($D757,Sheet1!$M$5:$T$192,8,TRUE))</f>
        <v>-0.30248740455587608</v>
      </c>
      <c r="U757" s="109" t="str">
        <f>IF(VLOOKUP($D757,Sheet1!$M$5:$U$192,9,TRUE)=0,"",IF(ABS(D757-VLOOKUP($D757,Sheet1!$M$5:$U$192,9,TRUE))&lt;10^-10,"Alt.",D757-VLOOKUP($D757,Sheet1!$M$5:$U$192,9,TRUE)))</f>
        <v/>
      </c>
      <c r="V757" s="132">
        <f>$D757-Sheet1!$M$3*$R757</f>
        <v>-0.12129821118690387</v>
      </c>
      <c r="Z757" s="6"/>
      <c r="AA757" s="61"/>
    </row>
    <row r="758" spans="1:27" ht="13.5">
      <c r="A758" t="s">
        <v>896</v>
      </c>
      <c r="B758">
        <v>131072</v>
      </c>
      <c r="C758">
        <v>132651</v>
      </c>
      <c r="D758" s="13">
        <f t="shared" si="15"/>
        <v>20.731231097384125</v>
      </c>
      <c r="E758" s="61">
        <v>17</v>
      </c>
      <c r="F758" s="65">
        <v>81.723947298979382</v>
      </c>
      <c r="G758" s="6">
        <v>805</v>
      </c>
      <c r="H758" s="6">
        <v>744</v>
      </c>
      <c r="I758" s="65">
        <v>1.7235025733470979</v>
      </c>
      <c r="J758" s="6">
        <f>VLOOKUP($D758,Sheet1!$A$5:$C$192,3,TRUE)</f>
        <v>4</v>
      </c>
      <c r="K758" s="42" t="str">
        <f>VLOOKUP($D758,Sheet1!$A$5:$C$192,2,TRUE)</f>
        <v>/|</v>
      </c>
      <c r="L758" s="6">
        <f>FLOOR(VLOOKUP($D758,Sheet1!$D$5:$F$192,3,TRUE),1)</f>
        <v>9</v>
      </c>
      <c r="M758" s="42" t="str">
        <f>VLOOKUP($D758,Sheet1!$D$5:$F$192,2,TRUE)</f>
        <v>/|</v>
      </c>
      <c r="N758" s="23">
        <f>FLOOR(VLOOKUP($D758,Sheet1!$G$5:$I$192,3,TRUE),1)</f>
        <v>11</v>
      </c>
      <c r="O758" s="42" t="str">
        <f>VLOOKUP($D758,Sheet1!$G$5:$I$192,2,TRUE)</f>
        <v>/|</v>
      </c>
      <c r="P758" s="23">
        <v>1</v>
      </c>
      <c r="Q758" s="43" t="str">
        <f>VLOOKUP($D758,Sheet1!$J$5:$L$192,2,TRUE)</f>
        <v>/|..</v>
      </c>
      <c r="R758" s="23">
        <f>FLOOR(VLOOKUP($D758,Sheet1!$M$5:$O$192,3,TRUE),1)</f>
        <v>42</v>
      </c>
      <c r="S758" s="42" t="str">
        <f>VLOOKUP($D758,Sheet1!$M$5:$O$192,2,TRUE)</f>
        <v>/|..</v>
      </c>
      <c r="T758" s="117">
        <f>IF(ABS(D758-VLOOKUP($D758,Sheet1!$M$5:$T$192,8,TRUE))&lt;10^-10,"SoCA",D758-VLOOKUP($D758,Sheet1!$M$5:$T$192,8,TRUE))</f>
        <v>5.746570477094437E-2</v>
      </c>
      <c r="U758" s="109" t="str">
        <f>IF(VLOOKUP($D758,Sheet1!$M$5:$U$192,9,TRUE)=0,"",IF(ABS(D758-VLOOKUP($D758,Sheet1!$M$5:$U$192,9,TRUE))&lt;10^-10,"Alt.",D758-VLOOKUP($D758,Sheet1!$M$5:$U$192,9,TRUE)))</f>
        <v/>
      </c>
      <c r="V758" s="132">
        <f>$D758-Sheet1!$M$3*$R758</f>
        <v>0.23865489813991658</v>
      </c>
      <c r="Z758" s="6"/>
      <c r="AA758" s="61"/>
    </row>
    <row r="759" spans="1:27" ht="13.5">
      <c r="A759" s="6" t="s">
        <v>793</v>
      </c>
      <c r="B759" s="6">
        <f>2^11*19</f>
        <v>38912</v>
      </c>
      <c r="C759" s="6">
        <f>3^2*5^4*7</f>
        <v>39375</v>
      </c>
      <c r="D759" s="13">
        <f t="shared" si="15"/>
        <v>20.477747526936522</v>
      </c>
      <c r="E759" s="61">
        <v>19</v>
      </c>
      <c r="F759" s="65">
        <v>82.860618952872031</v>
      </c>
      <c r="G759" s="6">
        <v>674</v>
      </c>
      <c r="H759" s="6">
        <v>639</v>
      </c>
      <c r="I759" s="65">
        <v>0.73911048027048287</v>
      </c>
      <c r="J759" s="6">
        <f>VLOOKUP($D759,Sheet1!$A$5:$C$192,3,TRUE)</f>
        <v>4</v>
      </c>
      <c r="K759" s="42" t="str">
        <f>VLOOKUP($D759,Sheet1!$A$5:$C$192,2,TRUE)</f>
        <v>/|</v>
      </c>
      <c r="L759" s="6">
        <f>FLOOR(VLOOKUP($D759,Sheet1!$D$5:$F$192,3,TRUE),1)</f>
        <v>9</v>
      </c>
      <c r="M759" s="42" t="str">
        <f>VLOOKUP($D759,Sheet1!$D$5:$F$192,2,TRUE)</f>
        <v>/|</v>
      </c>
      <c r="N759" s="23">
        <f>FLOOR(VLOOKUP($D759,Sheet1!$G$5:$I$192,3,TRUE),1)</f>
        <v>11</v>
      </c>
      <c r="O759" s="42" t="str">
        <f>VLOOKUP($D759,Sheet1!$G$5:$I$192,2,TRUE)</f>
        <v>/|</v>
      </c>
      <c r="P759" s="23">
        <v>1</v>
      </c>
      <c r="Q759" s="43" t="str">
        <f>VLOOKUP($D759,Sheet1!$J$5:$L$192,2,TRUE)</f>
        <v>/|..</v>
      </c>
      <c r="R759" s="23">
        <f>FLOOR(VLOOKUP($D759,Sheet1!$M$5:$O$192,3,TRUE),1)</f>
        <v>42</v>
      </c>
      <c r="S759" s="42" t="str">
        <f>VLOOKUP($D759,Sheet1!$M$5:$O$192,2,TRUE)</f>
        <v>/|..</v>
      </c>
      <c r="T759" s="117">
        <f>IF(ABS(D759-VLOOKUP($D759,Sheet1!$M$5:$T$192,8,TRUE))&lt;10^-10,"SoCA",D759-VLOOKUP($D759,Sheet1!$M$5:$T$192,8,TRUE))</f>
        <v>-0.19601786567665869</v>
      </c>
      <c r="U759" s="125" t="str">
        <f>IF(VLOOKUP($D759,Sheet1!$M$5:$U$192,9,TRUE)=0,"",IF(ABS(D759-VLOOKUP($D759,Sheet1!$M$5:$U$192,9,TRUE))&lt;10^-10,"Alt.",D759-VLOOKUP($D759,Sheet1!$M$5:$U$192,9,TRUE)))</f>
        <v/>
      </c>
      <c r="V759" s="132">
        <f>$D759-Sheet1!$M$3*$R759</f>
        <v>-1.4828672307686475E-2</v>
      </c>
      <c r="Z759" s="6"/>
      <c r="AA759" s="61"/>
    </row>
    <row r="760" spans="1:27" ht="13.5">
      <c r="A760" s="6" t="s">
        <v>1808</v>
      </c>
      <c r="B760">
        <v>1003833</v>
      </c>
      <c r="C760">
        <v>1015808</v>
      </c>
      <c r="D760" s="13">
        <f t="shared" si="15"/>
        <v>20.530154309968943</v>
      </c>
      <c r="E760" s="61">
        <v>31</v>
      </c>
      <c r="F760" s="65">
        <v>85.640488408420453</v>
      </c>
      <c r="G760" s="59">
        <v>681</v>
      </c>
      <c r="H760" s="63">
        <v>1000013</v>
      </c>
      <c r="I760" s="65">
        <v>-11.264116396289129</v>
      </c>
      <c r="J760" s="6">
        <f>VLOOKUP($D760,Sheet1!$A$5:$C$192,3,TRUE)</f>
        <v>4</v>
      </c>
      <c r="K760" s="42" t="str">
        <f>VLOOKUP($D760,Sheet1!$A$5:$C$192,2,TRUE)</f>
        <v>/|</v>
      </c>
      <c r="L760" s="6">
        <f>FLOOR(VLOOKUP($D760,Sheet1!$D$5:$F$192,3,TRUE),1)</f>
        <v>9</v>
      </c>
      <c r="M760" s="42" t="str">
        <f>VLOOKUP($D760,Sheet1!$D$5:$F$192,2,TRUE)</f>
        <v>/|</v>
      </c>
      <c r="N760" s="23">
        <f>FLOOR(VLOOKUP($D760,Sheet1!$G$5:$I$192,3,TRUE),1)</f>
        <v>11</v>
      </c>
      <c r="O760" s="42" t="str">
        <f>VLOOKUP($D760,Sheet1!$G$5:$I$192,2,TRUE)</f>
        <v>/|</v>
      </c>
      <c r="P760" s="23">
        <v>1</v>
      </c>
      <c r="Q760" s="43" t="str">
        <f>VLOOKUP($D760,Sheet1!$J$5:$L$192,2,TRUE)</f>
        <v>/|..</v>
      </c>
      <c r="R760" s="23">
        <f>FLOOR(VLOOKUP($D760,Sheet1!$M$5:$O$192,3,TRUE),1)</f>
        <v>42</v>
      </c>
      <c r="S760" s="42" t="str">
        <f>VLOOKUP($D760,Sheet1!$M$5:$O$192,2,TRUE)</f>
        <v>/|..</v>
      </c>
      <c r="T760" s="117">
        <f>IF(ABS(D760-VLOOKUP($D760,Sheet1!$M$5:$T$192,8,TRUE))&lt;10^-10,"SoCA",D760-VLOOKUP($D760,Sheet1!$M$5:$T$192,8,TRUE))</f>
        <v>-0.14361108264423805</v>
      </c>
      <c r="U760" s="109" t="str">
        <f>IF(VLOOKUP($D760,Sheet1!$M$5:$U$192,9,TRUE)=0,"",IF(ABS(D760-VLOOKUP($D760,Sheet1!$M$5:$U$192,9,TRUE))&lt;10^-10,"Alt.",D760-VLOOKUP($D760,Sheet1!$M$5:$U$192,9,TRUE)))</f>
        <v/>
      </c>
      <c r="V760" s="132">
        <f>$D760-Sheet1!$M$3*$R760</f>
        <v>3.7578110724734159E-2</v>
      </c>
      <c r="Z760" s="6"/>
      <c r="AA760" s="61"/>
    </row>
    <row r="761" spans="1:27" ht="13.5">
      <c r="A761" t="s">
        <v>1654</v>
      </c>
      <c r="B761">
        <v>190269</v>
      </c>
      <c r="C761">
        <v>192512</v>
      </c>
      <c r="D761" s="13">
        <f t="shared" si="15"/>
        <v>20.289420936979063</v>
      </c>
      <c r="E761" s="61">
        <v>47</v>
      </c>
      <c r="F761" s="65">
        <v>86.404153101085996</v>
      </c>
      <c r="G761" s="6">
        <v>1560</v>
      </c>
      <c r="H761" s="6">
        <v>1503</v>
      </c>
      <c r="I761" s="65">
        <v>-9.2492935654747139</v>
      </c>
      <c r="J761" s="6">
        <f>VLOOKUP($D761,Sheet1!$A$5:$C$192,3,TRUE)</f>
        <v>4</v>
      </c>
      <c r="K761" s="42" t="str">
        <f>VLOOKUP($D761,Sheet1!$A$5:$C$192,2,TRUE)</f>
        <v>/|</v>
      </c>
      <c r="L761" s="6">
        <f>FLOOR(VLOOKUP($D761,Sheet1!$D$5:$F$192,3,TRUE),1)</f>
        <v>9</v>
      </c>
      <c r="M761" s="42" t="str">
        <f>VLOOKUP($D761,Sheet1!$D$5:$F$192,2,TRUE)</f>
        <v>/|</v>
      </c>
      <c r="N761" s="23">
        <f>FLOOR(VLOOKUP($D761,Sheet1!$G$5:$I$192,3,TRUE),1)</f>
        <v>11</v>
      </c>
      <c r="O761" s="42" t="str">
        <f>VLOOKUP($D761,Sheet1!$G$5:$I$192,2,TRUE)</f>
        <v>/|</v>
      </c>
      <c r="P761" s="23">
        <v>1</v>
      </c>
      <c r="Q761" s="43" t="str">
        <f>VLOOKUP($D761,Sheet1!$J$5:$L$192,2,TRUE)</f>
        <v>/|..</v>
      </c>
      <c r="R761" s="23">
        <f>FLOOR(VLOOKUP($D761,Sheet1!$M$5:$O$192,3,TRUE),1)</f>
        <v>42</v>
      </c>
      <c r="S761" s="42" t="str">
        <f>VLOOKUP($D761,Sheet1!$M$5:$O$192,2,TRUE)</f>
        <v>/|..</v>
      </c>
      <c r="T761" s="117">
        <f>IF(ABS(D761-VLOOKUP($D761,Sheet1!$M$5:$T$192,8,TRUE))&lt;10^-10,"SoCA",D761-VLOOKUP($D761,Sheet1!$M$5:$T$192,8,TRUE))</f>
        <v>-0.38434445563411757</v>
      </c>
      <c r="U761" s="109" t="str">
        <f>IF(VLOOKUP($D761,Sheet1!$M$5:$U$192,9,TRUE)=0,"",IF(ABS(D761-VLOOKUP($D761,Sheet1!$M$5:$U$192,9,TRUE))&lt;10^-10,"Alt.",D761-VLOOKUP($D761,Sheet1!$M$5:$U$192,9,TRUE)))</f>
        <v/>
      </c>
      <c r="V761" s="132">
        <f>$D761-Sheet1!$M$3*$R761</f>
        <v>-0.20315526226514535</v>
      </c>
      <c r="Z761" s="6"/>
      <c r="AA761" s="61"/>
    </row>
    <row r="762" spans="1:27" ht="13.5">
      <c r="A762" s="21" t="s">
        <v>535</v>
      </c>
      <c r="B762" s="21">
        <f>3^5*19</f>
        <v>4617</v>
      </c>
      <c r="C762" s="21">
        <f>2^6*73</f>
        <v>4672</v>
      </c>
      <c r="D762" s="13">
        <f t="shared" si="15"/>
        <v>20.501450196781153</v>
      </c>
      <c r="E762" s="61" t="s">
        <v>1931</v>
      </c>
      <c r="F762" s="65">
        <v>93.364894899874457</v>
      </c>
      <c r="G762" s="6">
        <v>396</v>
      </c>
      <c r="H762" s="6">
        <v>378</v>
      </c>
      <c r="I762" s="65">
        <v>-6.2623489794653793</v>
      </c>
      <c r="J762" s="6">
        <f>VLOOKUP($D762,Sheet1!$A$5:$C$192,3,TRUE)</f>
        <v>4</v>
      </c>
      <c r="K762" s="42" t="str">
        <f>VLOOKUP($D762,Sheet1!$A$5:$C$192,2,TRUE)</f>
        <v>/|</v>
      </c>
      <c r="L762" s="6">
        <f>FLOOR(VLOOKUP($D762,Sheet1!$D$5:$F$192,3,TRUE),1)</f>
        <v>9</v>
      </c>
      <c r="M762" s="42" t="str">
        <f>VLOOKUP($D762,Sheet1!$D$5:$F$192,2,TRUE)</f>
        <v>/|</v>
      </c>
      <c r="N762" s="23">
        <f>FLOOR(VLOOKUP($D762,Sheet1!$G$5:$I$192,3,TRUE),1)</f>
        <v>11</v>
      </c>
      <c r="O762" s="42" t="str">
        <f>VLOOKUP($D762,Sheet1!$G$5:$I$192,2,TRUE)</f>
        <v>/|</v>
      </c>
      <c r="P762" s="23">
        <v>1</v>
      </c>
      <c r="Q762" s="43" t="str">
        <f>VLOOKUP($D762,Sheet1!$J$5:$L$192,2,TRUE)</f>
        <v>/|..</v>
      </c>
      <c r="R762" s="23">
        <f>FLOOR(VLOOKUP($D762,Sheet1!$M$5:$O$192,3,TRUE),1)</f>
        <v>42</v>
      </c>
      <c r="S762" s="43" t="str">
        <f>VLOOKUP($D762,Sheet1!$M$5:$O$192,2,TRUE)</f>
        <v>/|..</v>
      </c>
      <c r="T762" s="117">
        <f>IF(ABS(D762-VLOOKUP($D762,Sheet1!$M$5:$T$192,8,TRUE))&lt;10^-10,"SoCA",D762-VLOOKUP($D762,Sheet1!$M$5:$T$192,8,TRUE))</f>
        <v>-0.17231519583202726</v>
      </c>
      <c r="U762" s="109" t="str">
        <f>IF(VLOOKUP($D762,Sheet1!$M$5:$U$192,9,TRUE)=0,"",IF(ABS(D762-VLOOKUP($D762,Sheet1!$M$5:$U$192,9,TRUE))&lt;10^-10,"Alt.",D762-VLOOKUP($D762,Sheet1!$M$5:$U$192,9,TRUE)))</f>
        <v/>
      </c>
      <c r="V762" s="132">
        <f>$D762-Sheet1!$M$3*$R762</f>
        <v>8.8739975369449553E-3</v>
      </c>
      <c r="Z762" s="6"/>
      <c r="AA762" s="61"/>
    </row>
    <row r="763" spans="1:27" ht="13.5">
      <c r="A763" t="s">
        <v>1128</v>
      </c>
      <c r="B763">
        <v>43011</v>
      </c>
      <c r="C763">
        <v>43520</v>
      </c>
      <c r="D763" s="13">
        <f t="shared" si="15"/>
        <v>20.367458938708079</v>
      </c>
      <c r="E763" s="61" t="s">
        <v>1931</v>
      </c>
      <c r="F763" s="65">
        <v>99.84432737289869</v>
      </c>
      <c r="G763" s="6">
        <v>891</v>
      </c>
      <c r="H763" s="6">
        <v>977</v>
      </c>
      <c r="I763" s="65">
        <v>-7.2540986495490891</v>
      </c>
      <c r="J763" s="6">
        <f>VLOOKUP($D763,Sheet1!$A$5:$C$192,3,TRUE)</f>
        <v>4</v>
      </c>
      <c r="K763" s="42" t="str">
        <f>VLOOKUP($D763,Sheet1!$A$5:$C$192,2,TRUE)</f>
        <v>/|</v>
      </c>
      <c r="L763" s="6">
        <f>FLOOR(VLOOKUP($D763,Sheet1!$D$5:$F$192,3,TRUE),1)</f>
        <v>9</v>
      </c>
      <c r="M763" s="42" t="str">
        <f>VLOOKUP($D763,Sheet1!$D$5:$F$192,2,TRUE)</f>
        <v>/|</v>
      </c>
      <c r="N763" s="23">
        <f>FLOOR(VLOOKUP($D763,Sheet1!$G$5:$I$192,3,TRUE),1)</f>
        <v>11</v>
      </c>
      <c r="O763" s="42" t="str">
        <f>VLOOKUP($D763,Sheet1!$G$5:$I$192,2,TRUE)</f>
        <v>/|</v>
      </c>
      <c r="P763" s="23">
        <v>1</v>
      </c>
      <c r="Q763" s="43" t="str">
        <f>VLOOKUP($D763,Sheet1!$J$5:$L$192,2,TRUE)</f>
        <v>/|..</v>
      </c>
      <c r="R763" s="23">
        <f>FLOOR(VLOOKUP($D763,Sheet1!$M$5:$O$192,3,TRUE),1)</f>
        <v>42</v>
      </c>
      <c r="S763" s="42" t="str">
        <f>VLOOKUP($D763,Sheet1!$M$5:$O$192,2,TRUE)</f>
        <v>/|..</v>
      </c>
      <c r="T763" s="117">
        <f>IF(ABS(D763-VLOOKUP($D763,Sheet1!$M$5:$T$192,8,TRUE))&lt;10^-10,"SoCA",D763-VLOOKUP($D763,Sheet1!$M$5:$T$192,8,TRUE))</f>
        <v>-0.30630645390510125</v>
      </c>
      <c r="U763" s="109" t="str">
        <f>IF(VLOOKUP($D763,Sheet1!$M$5:$U$192,9,TRUE)=0,"",IF(ABS(D763-VLOOKUP($D763,Sheet1!$M$5:$U$192,9,TRUE))&lt;10^-10,"Alt.",D763-VLOOKUP($D763,Sheet1!$M$5:$U$192,9,TRUE)))</f>
        <v/>
      </c>
      <c r="V763" s="132">
        <f>$D763-Sheet1!$M$3*$R763</f>
        <v>-0.12511726053612904</v>
      </c>
      <c r="Z763" s="6"/>
      <c r="AA763" s="61"/>
    </row>
    <row r="764" spans="1:27" ht="13.5">
      <c r="A764" t="s">
        <v>1592</v>
      </c>
      <c r="B764">
        <v>4259840</v>
      </c>
      <c r="C764">
        <v>4310577</v>
      </c>
      <c r="D764" s="13">
        <f t="shared" si="15"/>
        <v>20.498103675749604</v>
      </c>
      <c r="E764" s="61" t="s">
        <v>1931</v>
      </c>
      <c r="F764" s="65">
        <v>127.36514890843927</v>
      </c>
      <c r="G764" s="6">
        <v>1499</v>
      </c>
      <c r="H764" s="6">
        <v>1441</v>
      </c>
      <c r="I764" s="65">
        <v>8.7378570780265736</v>
      </c>
      <c r="J764" s="6">
        <f>VLOOKUP($D764,Sheet1!$A$5:$C$192,3,TRUE)</f>
        <v>4</v>
      </c>
      <c r="K764" s="42" t="str">
        <f>VLOOKUP($D764,Sheet1!$A$5:$C$192,2,TRUE)</f>
        <v>/|</v>
      </c>
      <c r="L764" s="6">
        <f>FLOOR(VLOOKUP($D764,Sheet1!$D$5:$F$192,3,TRUE),1)</f>
        <v>9</v>
      </c>
      <c r="M764" s="42" t="str">
        <f>VLOOKUP($D764,Sheet1!$D$5:$F$192,2,TRUE)</f>
        <v>/|</v>
      </c>
      <c r="N764" s="23">
        <f>FLOOR(VLOOKUP($D764,Sheet1!$G$5:$I$192,3,TRUE),1)</f>
        <v>11</v>
      </c>
      <c r="O764" s="42" t="str">
        <f>VLOOKUP($D764,Sheet1!$G$5:$I$192,2,TRUE)</f>
        <v>/|</v>
      </c>
      <c r="P764" s="23">
        <v>1</v>
      </c>
      <c r="Q764" s="43" t="str">
        <f>VLOOKUP($D764,Sheet1!$J$5:$L$192,2,TRUE)</f>
        <v>/|..</v>
      </c>
      <c r="R764" s="23">
        <f>FLOOR(VLOOKUP($D764,Sheet1!$M$5:$O$192,3,TRUE),1)</f>
        <v>42</v>
      </c>
      <c r="S764" s="42" t="str">
        <f>VLOOKUP($D764,Sheet1!$M$5:$O$192,2,TRUE)</f>
        <v>/|..</v>
      </c>
      <c r="T764" s="117">
        <f>IF(ABS(D764-VLOOKUP($D764,Sheet1!$M$5:$T$192,8,TRUE))&lt;10^-10,"SoCA",D764-VLOOKUP($D764,Sheet1!$M$5:$T$192,8,TRUE))</f>
        <v>-0.17566171686357634</v>
      </c>
      <c r="U764" s="109" t="str">
        <f>IF(VLOOKUP($D764,Sheet1!$M$5:$U$192,9,TRUE)=0,"",IF(ABS(D764-VLOOKUP($D764,Sheet1!$M$5:$U$192,9,TRUE))&lt;10^-10,"Alt.",D764-VLOOKUP($D764,Sheet1!$M$5:$U$192,9,TRUE)))</f>
        <v/>
      </c>
      <c r="V764" s="132">
        <f>$D764-Sheet1!$M$3*$R764</f>
        <v>5.5274765053958674E-3</v>
      </c>
      <c r="Z764" s="6"/>
      <c r="AA764" s="61"/>
    </row>
    <row r="765" spans="1:27" ht="13.5">
      <c r="A765" t="s">
        <v>1107</v>
      </c>
      <c r="B765">
        <v>23296</v>
      </c>
      <c r="C765">
        <v>23571</v>
      </c>
      <c r="D765" s="13">
        <f t="shared" si="15"/>
        <v>20.316846713054925</v>
      </c>
      <c r="E765" s="61" t="s">
        <v>1931</v>
      </c>
      <c r="F765" s="65">
        <v>140.99990318539767</v>
      </c>
      <c r="G765" s="6">
        <v>1020</v>
      </c>
      <c r="H765" s="6">
        <v>956</v>
      </c>
      <c r="I765" s="65">
        <v>3.7490177295747529</v>
      </c>
      <c r="J765" s="6">
        <f>VLOOKUP($D765,Sheet1!$A$5:$C$192,3,TRUE)</f>
        <v>4</v>
      </c>
      <c r="K765" s="42" t="str">
        <f>VLOOKUP($D765,Sheet1!$A$5:$C$192,2,TRUE)</f>
        <v>/|</v>
      </c>
      <c r="L765" s="6">
        <f>FLOOR(VLOOKUP($D765,Sheet1!$D$5:$F$192,3,TRUE),1)</f>
        <v>9</v>
      </c>
      <c r="M765" s="42" t="str">
        <f>VLOOKUP($D765,Sheet1!$D$5:$F$192,2,TRUE)</f>
        <v>/|</v>
      </c>
      <c r="N765" s="23">
        <f>FLOOR(VLOOKUP($D765,Sheet1!$G$5:$I$192,3,TRUE),1)</f>
        <v>11</v>
      </c>
      <c r="O765" s="42" t="str">
        <f>VLOOKUP($D765,Sheet1!$G$5:$I$192,2,TRUE)</f>
        <v>/|</v>
      </c>
      <c r="P765" s="23">
        <v>1</v>
      </c>
      <c r="Q765" s="43" t="str">
        <f>VLOOKUP($D765,Sheet1!$J$5:$L$192,2,TRUE)</f>
        <v>/|..</v>
      </c>
      <c r="R765" s="23">
        <f>FLOOR(VLOOKUP($D765,Sheet1!$M$5:$O$192,3,TRUE),1)</f>
        <v>42</v>
      </c>
      <c r="S765" s="42" t="str">
        <f>VLOOKUP($D765,Sheet1!$M$5:$O$192,2,TRUE)</f>
        <v>/|..</v>
      </c>
      <c r="T765" s="117">
        <f>IF(ABS(D765-VLOOKUP($D765,Sheet1!$M$5:$T$192,8,TRUE))&lt;10^-10,"SoCA",D765-VLOOKUP($D765,Sheet1!$M$5:$T$192,8,TRUE))</f>
        <v>-0.35691867955825529</v>
      </c>
      <c r="U765" s="109" t="str">
        <f>IF(VLOOKUP($D765,Sheet1!$M$5:$U$192,9,TRUE)=0,"",IF(ABS(D765-VLOOKUP($D765,Sheet1!$M$5:$U$192,9,TRUE))&lt;10^-10,"Alt.",D765-VLOOKUP($D765,Sheet1!$M$5:$U$192,9,TRUE)))</f>
        <v/>
      </c>
      <c r="V765" s="132">
        <f>$D765-Sheet1!$M$3*$R765</f>
        <v>-0.17572948618928308</v>
      </c>
      <c r="Z765" s="6"/>
      <c r="AA765" s="61"/>
    </row>
    <row r="766" spans="1:27" ht="13.5">
      <c r="A766" t="s">
        <v>1595</v>
      </c>
      <c r="B766">
        <v>7995392</v>
      </c>
      <c r="C766">
        <v>8089713</v>
      </c>
      <c r="D766" s="13">
        <f t="shared" si="15"/>
        <v>20.303703131042656</v>
      </c>
      <c r="E766" s="61" t="s">
        <v>1931</v>
      </c>
      <c r="F766" s="65">
        <v>219.28594587496553</v>
      </c>
      <c r="G766" s="6">
        <v>1502</v>
      </c>
      <c r="H766" s="6">
        <v>1444</v>
      </c>
      <c r="I766" s="65">
        <v>8.7498270278039243</v>
      </c>
      <c r="J766" s="6">
        <f>VLOOKUP($D766,Sheet1!$A$5:$C$192,3,TRUE)</f>
        <v>4</v>
      </c>
      <c r="K766" s="42" t="str">
        <f>VLOOKUP($D766,Sheet1!$A$5:$C$192,2,TRUE)</f>
        <v>/|</v>
      </c>
      <c r="L766" s="6">
        <f>FLOOR(VLOOKUP($D766,Sheet1!$D$5:$F$192,3,TRUE),1)</f>
        <v>9</v>
      </c>
      <c r="M766" s="42" t="str">
        <f>VLOOKUP($D766,Sheet1!$D$5:$F$192,2,TRUE)</f>
        <v>/|</v>
      </c>
      <c r="N766" s="23">
        <f>FLOOR(VLOOKUP($D766,Sheet1!$G$5:$I$192,3,TRUE),1)</f>
        <v>11</v>
      </c>
      <c r="O766" s="42" t="str">
        <f>VLOOKUP($D766,Sheet1!$G$5:$I$192,2,TRUE)</f>
        <v>/|</v>
      </c>
      <c r="P766" s="23">
        <v>1</v>
      </c>
      <c r="Q766" s="43" t="str">
        <f>VLOOKUP($D766,Sheet1!$J$5:$L$192,2,TRUE)</f>
        <v>/|..</v>
      </c>
      <c r="R766" s="23">
        <f>FLOOR(VLOOKUP($D766,Sheet1!$M$5:$O$192,3,TRUE),1)</f>
        <v>42</v>
      </c>
      <c r="S766" s="42" t="str">
        <f>VLOOKUP($D766,Sheet1!$M$5:$O$192,2,TRUE)</f>
        <v>/|..</v>
      </c>
      <c r="T766" s="117">
        <f>IF(ABS(D766-VLOOKUP($D766,Sheet1!$M$5:$T$192,8,TRUE))&lt;10^-10,"SoCA",D766-VLOOKUP($D766,Sheet1!$M$5:$T$192,8,TRUE))</f>
        <v>-0.37006226157052424</v>
      </c>
      <c r="U766" s="109" t="str">
        <f>IF(VLOOKUP($D766,Sheet1!$M$5:$U$192,9,TRUE)=0,"",IF(ABS(D766-VLOOKUP($D766,Sheet1!$M$5:$U$192,9,TRUE))&lt;10^-10,"Alt.",D766-VLOOKUP($D766,Sheet1!$M$5:$U$192,9,TRUE)))</f>
        <v/>
      </c>
      <c r="V766" s="132">
        <f>$D766-Sheet1!$M$3*$R766</f>
        <v>-0.18887306820155203</v>
      </c>
      <c r="Z766" s="6"/>
      <c r="AA766" s="61"/>
    </row>
    <row r="767" spans="1:27" ht="13.5">
      <c r="A767" t="s">
        <v>903</v>
      </c>
      <c r="B767">
        <v>8192</v>
      </c>
      <c r="C767">
        <v>8289</v>
      </c>
      <c r="D767" s="13">
        <f t="shared" si="15"/>
        <v>20.37881704037752</v>
      </c>
      <c r="E767" s="61" t="s">
        <v>1931</v>
      </c>
      <c r="F767" s="65">
        <v>368.57977992694759</v>
      </c>
      <c r="G767" s="6">
        <v>809</v>
      </c>
      <c r="H767" s="6">
        <v>751</v>
      </c>
      <c r="I767" s="65">
        <v>1.7452019907513061</v>
      </c>
      <c r="J767" s="6">
        <f>VLOOKUP($D767,Sheet1!$A$5:$C$192,3,TRUE)</f>
        <v>4</v>
      </c>
      <c r="K767" s="42" t="str">
        <f>VLOOKUP($D767,Sheet1!$A$5:$C$192,2,TRUE)</f>
        <v>/|</v>
      </c>
      <c r="L767" s="6">
        <f>FLOOR(VLOOKUP($D767,Sheet1!$D$5:$F$192,3,TRUE),1)</f>
        <v>9</v>
      </c>
      <c r="M767" s="42" t="str">
        <f>VLOOKUP($D767,Sheet1!$D$5:$F$192,2,TRUE)</f>
        <v>/|</v>
      </c>
      <c r="N767" s="23">
        <f>FLOOR(VLOOKUP($D767,Sheet1!$G$5:$I$192,3,TRUE),1)</f>
        <v>11</v>
      </c>
      <c r="O767" s="42" t="str">
        <f>VLOOKUP($D767,Sheet1!$G$5:$I$192,2,TRUE)</f>
        <v>/|</v>
      </c>
      <c r="P767" s="23">
        <v>1</v>
      </c>
      <c r="Q767" s="43" t="str">
        <f>VLOOKUP($D767,Sheet1!$J$5:$L$192,2,TRUE)</f>
        <v>/|..</v>
      </c>
      <c r="R767" s="23">
        <f>FLOOR(VLOOKUP($D767,Sheet1!$M$5:$O$192,3,TRUE),1)</f>
        <v>42</v>
      </c>
      <c r="S767" s="42" t="str">
        <f>VLOOKUP($D767,Sheet1!$M$5:$O$192,2,TRUE)</f>
        <v>/|..</v>
      </c>
      <c r="T767" s="117">
        <f>IF(ABS(D767-VLOOKUP($D767,Sheet1!$M$5:$T$192,8,TRUE))&lt;10^-10,"SoCA",D767-VLOOKUP($D767,Sheet1!$M$5:$T$192,8,TRUE))</f>
        <v>-0.29494835223566085</v>
      </c>
      <c r="U767" s="109" t="str">
        <f>IF(VLOOKUP($D767,Sheet1!$M$5:$U$192,9,TRUE)=0,"",IF(ABS(D767-VLOOKUP($D767,Sheet1!$M$5:$U$192,9,TRUE))&lt;10^-10,"Alt.",D767-VLOOKUP($D767,Sheet1!$M$5:$U$192,9,TRUE)))</f>
        <v/>
      </c>
      <c r="V767" s="132">
        <f>$D767-Sheet1!$M$3*$R767</f>
        <v>-0.11375915886668864</v>
      </c>
      <c r="Z767" s="6"/>
      <c r="AA767" s="61"/>
    </row>
    <row r="768" spans="1:27" ht="13.5">
      <c r="A768" t="s">
        <v>1589</v>
      </c>
      <c r="B768">
        <v>15713730560</v>
      </c>
      <c r="C768">
        <v>15901718553</v>
      </c>
      <c r="D768" s="13">
        <f t="shared" si="15"/>
        <v>20.588355316556981</v>
      </c>
      <c r="E768" s="61" t="s">
        <v>1931</v>
      </c>
      <c r="F768" s="65">
        <v>10671.987946222593</v>
      </c>
      <c r="G768" s="6">
        <v>1496</v>
      </c>
      <c r="H768" s="6">
        <v>1438</v>
      </c>
      <c r="I768" s="65">
        <v>8.7322999556974334</v>
      </c>
      <c r="J768" s="6">
        <f>VLOOKUP($D768,Sheet1!$A$5:$C$192,3,TRUE)</f>
        <v>4</v>
      </c>
      <c r="K768" s="42" t="str">
        <f>VLOOKUP($D768,Sheet1!$A$5:$C$192,2,TRUE)</f>
        <v>/|</v>
      </c>
      <c r="L768" s="6">
        <f>FLOOR(VLOOKUP($D768,Sheet1!$D$5:$F$192,3,TRUE),1)</f>
        <v>9</v>
      </c>
      <c r="M768" s="42" t="str">
        <f>VLOOKUP($D768,Sheet1!$D$5:$F$192,2,TRUE)</f>
        <v>/|</v>
      </c>
      <c r="N768" s="23">
        <f>FLOOR(VLOOKUP($D768,Sheet1!$G$5:$I$192,3,TRUE),1)</f>
        <v>11</v>
      </c>
      <c r="O768" s="42" t="str">
        <f>VLOOKUP($D768,Sheet1!$G$5:$I$192,2,TRUE)</f>
        <v>/|</v>
      </c>
      <c r="P768" s="23">
        <v>1</v>
      </c>
      <c r="Q768" s="43" t="str">
        <f>VLOOKUP($D768,Sheet1!$J$5:$L$192,2,TRUE)</f>
        <v>/|..</v>
      </c>
      <c r="R768" s="23">
        <f>FLOOR(VLOOKUP($D768,Sheet1!$M$5:$O$192,3,TRUE),1)</f>
        <v>42</v>
      </c>
      <c r="S768" s="42" t="str">
        <f>VLOOKUP($D768,Sheet1!$M$5:$O$192,2,TRUE)</f>
        <v>/|..</v>
      </c>
      <c r="T768" s="117">
        <f>IF(ABS(D768-VLOOKUP($D768,Sheet1!$M$5:$T$192,8,TRUE))&lt;10^-10,"SoCA",D768-VLOOKUP($D768,Sheet1!$M$5:$T$192,8,TRUE))</f>
        <v>-8.5410076056199102E-2</v>
      </c>
      <c r="U768" s="109" t="str">
        <f>IF(VLOOKUP($D768,Sheet1!$M$5:$U$192,9,TRUE)=0,"",IF(ABS(D768-VLOOKUP($D768,Sheet1!$M$5:$U$192,9,TRUE))&lt;10^-10,"Alt.",D768-VLOOKUP($D768,Sheet1!$M$5:$U$192,9,TRUE)))</f>
        <v/>
      </c>
      <c r="V768" s="132">
        <f>$D768-Sheet1!$M$3*$R768</f>
        <v>9.577911731277311E-2</v>
      </c>
      <c r="Z768" s="6"/>
      <c r="AA768" s="61"/>
    </row>
    <row r="769" spans="1:27" ht="13.5">
      <c r="A769" t="s">
        <v>1593</v>
      </c>
      <c r="B769">
        <v>60887269376</v>
      </c>
      <c r="C769">
        <v>61612376139</v>
      </c>
      <c r="D769" s="13">
        <f t="shared" si="15"/>
        <v>20.495474474001092</v>
      </c>
      <c r="E769" s="61" t="s">
        <v>1931</v>
      </c>
      <c r="F769" s="65">
        <v>1508001.0159898305</v>
      </c>
      <c r="G769" s="6">
        <v>1500</v>
      </c>
      <c r="H769" s="6">
        <v>1442</v>
      </c>
      <c r="I769" s="65">
        <v>8.7380189675569326</v>
      </c>
      <c r="J769" s="6">
        <f>VLOOKUP($D769,Sheet1!$A$5:$C$192,3,TRUE)</f>
        <v>4</v>
      </c>
      <c r="K769" s="42" t="str">
        <f>VLOOKUP($D769,Sheet1!$A$5:$C$192,2,TRUE)</f>
        <v>/|</v>
      </c>
      <c r="L769" s="6">
        <f>FLOOR(VLOOKUP($D769,Sheet1!$D$5:$F$192,3,TRUE),1)</f>
        <v>9</v>
      </c>
      <c r="M769" s="42" t="str">
        <f>VLOOKUP($D769,Sheet1!$D$5:$F$192,2,TRUE)</f>
        <v>/|</v>
      </c>
      <c r="N769" s="23">
        <f>FLOOR(VLOOKUP($D769,Sheet1!$G$5:$I$192,3,TRUE),1)</f>
        <v>11</v>
      </c>
      <c r="O769" s="42" t="str">
        <f>VLOOKUP($D769,Sheet1!$G$5:$I$192,2,TRUE)</f>
        <v>/|</v>
      </c>
      <c r="P769" s="23">
        <v>1</v>
      </c>
      <c r="Q769" s="43" t="str">
        <f>VLOOKUP($D769,Sheet1!$J$5:$L$192,2,TRUE)</f>
        <v>/|..</v>
      </c>
      <c r="R769" s="23">
        <f>FLOOR(VLOOKUP($D769,Sheet1!$M$5:$O$192,3,TRUE),1)</f>
        <v>42</v>
      </c>
      <c r="S769" s="42" t="str">
        <f>VLOOKUP($D769,Sheet1!$M$5:$O$192,2,TRUE)</f>
        <v>/|..</v>
      </c>
      <c r="T769" s="117">
        <f>IF(ABS(D769-VLOOKUP($D769,Sheet1!$M$5:$T$192,8,TRUE))&lt;10^-10,"SoCA",D769-VLOOKUP($D769,Sheet1!$M$5:$T$192,8,TRUE))</f>
        <v>-0.17829091861208823</v>
      </c>
      <c r="U769" s="109" t="str">
        <f>IF(VLOOKUP($D769,Sheet1!$M$5:$U$192,9,TRUE)=0,"",IF(ABS(D769-VLOOKUP($D769,Sheet1!$M$5:$U$192,9,TRUE))&lt;10^-10,"Alt.",D769-VLOOKUP($D769,Sheet1!$M$5:$U$192,9,TRUE)))</f>
        <v/>
      </c>
      <c r="V769" s="132">
        <f>$D769-Sheet1!$M$3*$R769</f>
        <v>2.8982747568839784E-3</v>
      </c>
      <c r="Z769" s="6"/>
      <c r="AA769" s="61"/>
    </row>
    <row r="770" spans="1:27" ht="13.5">
      <c r="A770" s="38" t="s">
        <v>90</v>
      </c>
      <c r="B770" s="38">
        <f>2^16</f>
        <v>65536</v>
      </c>
      <c r="C770" s="38">
        <f>3^6*7*13</f>
        <v>66339</v>
      </c>
      <c r="D770" s="13">
        <f t="shared" si="15"/>
        <v>21.083573430760026</v>
      </c>
      <c r="E770" s="61">
        <v>13</v>
      </c>
      <c r="F770" s="65">
        <v>28.768619698609196</v>
      </c>
      <c r="G770" s="6">
        <v>105</v>
      </c>
      <c r="H770" s="6">
        <v>101</v>
      </c>
      <c r="I770" s="65">
        <v>4.7018075722281356</v>
      </c>
      <c r="J770" s="6">
        <f>VLOOKUP($D770,Sheet1!$A$5:$C$192,3,TRUE)</f>
        <v>4</v>
      </c>
      <c r="K770" s="42" t="str">
        <f>VLOOKUP($D770,Sheet1!$A$5:$C$192,2,TRUE)</f>
        <v>/|</v>
      </c>
      <c r="L770" s="6">
        <f>FLOOR(VLOOKUP($D770,Sheet1!$D$5:$F$192,3,TRUE),1)</f>
        <v>9</v>
      </c>
      <c r="M770" s="42" t="str">
        <f>VLOOKUP($D770,Sheet1!$D$5:$F$192,2,TRUE)</f>
        <v>/|</v>
      </c>
      <c r="N770" s="23">
        <f>FLOOR(VLOOKUP($D770,Sheet1!$G$5:$I$192,3,TRUE),1)</f>
        <v>11</v>
      </c>
      <c r="O770" s="42" t="str">
        <f>VLOOKUP($D770,Sheet1!$G$5:$I$192,2,TRUE)</f>
        <v>/|</v>
      </c>
      <c r="P770" s="23">
        <v>1</v>
      </c>
      <c r="Q770" s="45" t="str">
        <f>VLOOKUP($D770,Sheet1!$J$5:$L$192,2,TRUE)</f>
        <v>/|.</v>
      </c>
      <c r="R770" s="38">
        <f>FLOOR(VLOOKUP($D770,Sheet1!$M$5:$O$192,3,TRUE),1)</f>
        <v>43</v>
      </c>
      <c r="S770" s="45" t="str">
        <f>VLOOKUP($D770,Sheet1!$M$5:$O$192,2,TRUE)</f>
        <v>/|.</v>
      </c>
      <c r="T770" s="112" t="str">
        <f>IF(ABS(D770-VLOOKUP($D770,Sheet1!$M$5:$T$192,8,TRUE))&lt;10^-10,"SoCA",D770-VLOOKUP($D770,Sheet1!$M$5:$T$192,8,TRUE))</f>
        <v>SoCA</v>
      </c>
      <c r="U770" s="108">
        <f>IF(VLOOKUP($D770,Sheet1!$M$5:$U$192,9,TRUE)=0,"",IF(ABS(D770-VLOOKUP($D770,Sheet1!$M$5:$U$192,9,TRUE))&lt;10^-10,"Alt.",D770-VLOOKUP($D770,Sheet1!$M$5:$U$192,9,TRUE)))</f>
        <v>-2.6960295202364648E-2</v>
      </c>
      <c r="V770" s="133">
        <f>$D770-Sheet1!$M$3*$R770</f>
        <v>0.10307875058143168</v>
      </c>
      <c r="Z770" s="6"/>
      <c r="AA770" s="61"/>
    </row>
    <row r="771" spans="1:27" ht="13.5">
      <c r="A771" s="6" t="s">
        <v>1132</v>
      </c>
      <c r="B771" s="6">
        <f>3^6*17</f>
        <v>12393</v>
      </c>
      <c r="C771" s="6">
        <f>7^2*2^8</f>
        <v>12544</v>
      </c>
      <c r="D771" s="13">
        <f t="shared" si="15"/>
        <v>20.96639824551794</v>
      </c>
      <c r="E771" s="61">
        <v>17</v>
      </c>
      <c r="F771" s="65">
        <v>39.330555979735983</v>
      </c>
      <c r="G771" s="6">
        <v>898</v>
      </c>
      <c r="H771" s="6">
        <v>981</v>
      </c>
      <c r="I771" s="65">
        <v>-7.2909775247240676</v>
      </c>
      <c r="J771" s="6">
        <f>VLOOKUP($D771,Sheet1!$A$5:$C$192,3,TRUE)</f>
        <v>4</v>
      </c>
      <c r="K771" s="42" t="str">
        <f>VLOOKUP($D771,Sheet1!$A$5:$C$192,2,TRUE)</f>
        <v>/|</v>
      </c>
      <c r="L771" s="6">
        <f>FLOOR(VLOOKUP($D771,Sheet1!$D$5:$F$192,3,TRUE),1)</f>
        <v>9</v>
      </c>
      <c r="M771" s="42" t="str">
        <f>VLOOKUP($D771,Sheet1!$D$5:$F$192,2,TRUE)</f>
        <v>/|</v>
      </c>
      <c r="N771" s="23">
        <f>FLOOR(VLOOKUP($D771,Sheet1!$G$5:$I$192,3,TRUE),1)</f>
        <v>11</v>
      </c>
      <c r="O771" s="42" t="str">
        <f>VLOOKUP($D771,Sheet1!$G$5:$I$192,2,TRUE)</f>
        <v>/|</v>
      </c>
      <c r="P771" s="23">
        <v>1</v>
      </c>
      <c r="Q771" s="43" t="str">
        <f>VLOOKUP($D771,Sheet1!$J$5:$L$192,2,TRUE)</f>
        <v>/|.</v>
      </c>
      <c r="R771" s="23">
        <f>FLOOR(VLOOKUP($D771,Sheet1!$M$5:$O$192,3,TRUE),1)</f>
        <v>43</v>
      </c>
      <c r="S771" s="42" t="str">
        <f>VLOOKUP($D771,Sheet1!$M$5:$O$192,2,TRUE)</f>
        <v>/|.</v>
      </c>
      <c r="T771" s="117">
        <f>IF(ABS(D771-VLOOKUP($D771,Sheet1!$M$5:$T$192,8,TRUE))&lt;10^-10,"SoCA",D771-VLOOKUP($D771,Sheet1!$M$5:$T$192,8,TRUE))</f>
        <v>-0.11717518524201509</v>
      </c>
      <c r="U771" s="109">
        <f>IF(VLOOKUP($D771,Sheet1!$M$5:$U$192,9,TRUE)=0,"",IF(ABS(D771-VLOOKUP($D771,Sheet1!$M$5:$U$192,9,TRUE))&lt;10^-10,"Alt.",D771-VLOOKUP($D771,Sheet1!$M$5:$U$192,9,TRUE)))</f>
        <v>-0.14413548044445079</v>
      </c>
      <c r="V771" s="132">
        <f>$D771-Sheet1!$M$3*$R771</f>
        <v>-1.4096434660654467E-2</v>
      </c>
      <c r="Z771" s="6"/>
      <c r="AA771" s="61"/>
    </row>
    <row r="772" spans="1:27" ht="13.5">
      <c r="A772" s="6" t="s">
        <v>1104</v>
      </c>
      <c r="B772" s="6">
        <f>2^10*7^2</f>
        <v>50176</v>
      </c>
      <c r="C772" s="6">
        <f>3^5*11*19</f>
        <v>50787</v>
      </c>
      <c r="D772" s="13">
        <f t="shared" ref="D772:D803" si="16">1200*LN($C772/$B772)/LN(2)</f>
        <v>20.954149885746354</v>
      </c>
      <c r="E772" s="61">
        <v>19</v>
      </c>
      <c r="F772" s="65">
        <v>44.476777871729929</v>
      </c>
      <c r="G772" s="6">
        <v>1017</v>
      </c>
      <c r="H772" s="6">
        <v>953</v>
      </c>
      <c r="I772" s="65">
        <v>3.709776651410273</v>
      </c>
      <c r="J772" s="6">
        <f>VLOOKUP($D772,Sheet1!$A$5:$C$192,3,TRUE)</f>
        <v>4</v>
      </c>
      <c r="K772" s="42" t="str">
        <f>VLOOKUP($D772,Sheet1!$A$5:$C$192,2,TRUE)</f>
        <v>/|</v>
      </c>
      <c r="L772" s="6">
        <f>FLOOR(VLOOKUP($D772,Sheet1!$D$5:$F$192,3,TRUE),1)</f>
        <v>9</v>
      </c>
      <c r="M772" s="42" t="str">
        <f>VLOOKUP($D772,Sheet1!$D$5:$F$192,2,TRUE)</f>
        <v>/|</v>
      </c>
      <c r="N772" s="23">
        <f>FLOOR(VLOOKUP($D772,Sheet1!$G$5:$I$192,3,TRUE),1)</f>
        <v>11</v>
      </c>
      <c r="O772" s="42" t="str">
        <f>VLOOKUP($D772,Sheet1!$G$5:$I$192,2,TRUE)</f>
        <v>/|</v>
      </c>
      <c r="P772" s="23">
        <v>1</v>
      </c>
      <c r="Q772" s="43" t="str">
        <f>VLOOKUP($D772,Sheet1!$J$5:$L$192,2,TRUE)</f>
        <v>/|.</v>
      </c>
      <c r="R772" s="23">
        <f>FLOOR(VLOOKUP($D772,Sheet1!$M$5:$O$192,3,TRUE),1)</f>
        <v>43</v>
      </c>
      <c r="S772" s="42" t="str">
        <f>VLOOKUP($D772,Sheet1!$M$5:$O$192,2,TRUE)</f>
        <v>/|.</v>
      </c>
      <c r="T772" s="117">
        <f>IF(ABS(D772-VLOOKUP($D772,Sheet1!$M$5:$T$192,8,TRUE))&lt;10^-10,"SoCA",D772-VLOOKUP($D772,Sheet1!$M$5:$T$192,8,TRUE))</f>
        <v>-0.12942354501360143</v>
      </c>
      <c r="U772" s="109">
        <f>IF(VLOOKUP($D772,Sheet1!$M$5:$U$192,9,TRUE)=0,"",IF(ABS(D772-VLOOKUP($D772,Sheet1!$M$5:$U$192,9,TRUE))&lt;10^-10,"Alt.",D772-VLOOKUP($D772,Sheet1!$M$5:$U$192,9,TRUE)))</f>
        <v>-0.15638384021603713</v>
      </c>
      <c r="V772" s="132">
        <f>$D772-Sheet1!$M$3*$R772</f>
        <v>-2.6344794432240803E-2</v>
      </c>
      <c r="Z772" s="6"/>
      <c r="AA772" s="61"/>
    </row>
    <row r="773" spans="1:27" ht="13.5">
      <c r="A773" s="40" t="s">
        <v>377</v>
      </c>
      <c r="B773" s="40">
        <f>7^4</f>
        <v>2401</v>
      </c>
      <c r="C773" s="40">
        <f>2*3^5*5</f>
        <v>2430</v>
      </c>
      <c r="D773" s="13">
        <f t="shared" si="16"/>
        <v>20.785092315272131</v>
      </c>
      <c r="E773" s="61">
        <v>7</v>
      </c>
      <c r="F773" s="65">
        <v>53.243675328749283</v>
      </c>
      <c r="G773" s="6">
        <v>228</v>
      </c>
      <c r="H773" s="6">
        <v>212</v>
      </c>
      <c r="I773" s="65">
        <v>3.7201861419346329</v>
      </c>
      <c r="J773" s="6">
        <f>VLOOKUP($D773,Sheet1!$A$5:$C$192,3,TRUE)</f>
        <v>4</v>
      </c>
      <c r="K773" s="42" t="str">
        <f>VLOOKUP($D773,Sheet1!$A$5:$C$192,2,TRUE)</f>
        <v>/|</v>
      </c>
      <c r="L773" s="6">
        <f>FLOOR(VLOOKUP($D773,Sheet1!$D$5:$F$192,3,TRUE),1)</f>
        <v>9</v>
      </c>
      <c r="M773" s="42" t="str">
        <f>VLOOKUP($D773,Sheet1!$D$5:$F$192,2,TRUE)</f>
        <v>/|</v>
      </c>
      <c r="N773" s="23">
        <f>FLOOR(VLOOKUP($D773,Sheet1!$G$5:$I$192,3,TRUE),1)</f>
        <v>11</v>
      </c>
      <c r="O773" s="42" t="str">
        <f>VLOOKUP($D773,Sheet1!$G$5:$I$192,2,TRUE)</f>
        <v>/|</v>
      </c>
      <c r="P773" s="23">
        <v>1</v>
      </c>
      <c r="Q773" s="43" t="str">
        <f>VLOOKUP($D773,Sheet1!$J$5:$L$192,2,TRUE)</f>
        <v>/|.</v>
      </c>
      <c r="R773" s="40">
        <f>FLOOR(VLOOKUP($D773,Sheet1!$M$5:$O$192,3,TRUE),1)</f>
        <v>43</v>
      </c>
      <c r="S773" s="46" t="str">
        <f>VLOOKUP($D773,Sheet1!$M$5:$O$192,2,TRUE)</f>
        <v>)|~''</v>
      </c>
      <c r="T773" s="115">
        <f>IF(ABS(D773-VLOOKUP($D773,Sheet1!$M$5:$T$192,8,TRUE))&lt;10^-10,"SoCA",D773-VLOOKUP($D773,Sheet1!$M$5:$T$192,8,TRUE))</f>
        <v>-0.12942354501377551</v>
      </c>
      <c r="U773" s="115">
        <f>IF(VLOOKUP($D773,Sheet1!$M$5:$U$192,9,TRUE)=0,"",IF(ABS(D773-VLOOKUP($D773,Sheet1!$M$5:$U$192,9,TRUE))&lt;10^-10,"Alt.",D773-VLOOKUP($D773,Sheet1!$M$5:$U$192,9,TRUE)))</f>
        <v>-0.11537137761931859</v>
      </c>
      <c r="V773" s="132">
        <f>$D773-Sheet1!$M$3*$R773</f>
        <v>-0.19540236490646379</v>
      </c>
      <c r="Z773" s="6"/>
      <c r="AA773" s="61"/>
    </row>
    <row r="774" spans="1:27" ht="13.5">
      <c r="A774" t="s">
        <v>1444</v>
      </c>
      <c r="B774">
        <v>2590137</v>
      </c>
      <c r="C774">
        <v>2621440</v>
      </c>
      <c r="D774" s="13">
        <f t="shared" si="16"/>
        <v>20.797340675043703</v>
      </c>
      <c r="E774" s="61">
        <v>19</v>
      </c>
      <c r="F774" s="65">
        <v>75.218235690771621</v>
      </c>
      <c r="G774" s="6">
        <v>1359</v>
      </c>
      <c r="H774" s="6">
        <v>1293</v>
      </c>
      <c r="I774" s="65">
        <v>-7.2805680341997068</v>
      </c>
      <c r="J774" s="6">
        <f>VLOOKUP($D774,Sheet1!$A$5:$C$192,3,TRUE)</f>
        <v>4</v>
      </c>
      <c r="K774" s="42" t="str">
        <f>VLOOKUP($D774,Sheet1!$A$5:$C$192,2,TRUE)</f>
        <v>/|</v>
      </c>
      <c r="L774" s="6">
        <f>FLOOR(VLOOKUP($D774,Sheet1!$D$5:$F$192,3,TRUE),1)</f>
        <v>9</v>
      </c>
      <c r="M774" s="42" t="str">
        <f>VLOOKUP($D774,Sheet1!$D$5:$F$192,2,TRUE)</f>
        <v>/|</v>
      </c>
      <c r="N774" s="23">
        <f>FLOOR(VLOOKUP($D774,Sheet1!$G$5:$I$192,3,TRUE),1)</f>
        <v>11</v>
      </c>
      <c r="O774" s="42" t="str">
        <f>VLOOKUP($D774,Sheet1!$G$5:$I$192,2,TRUE)</f>
        <v>/|</v>
      </c>
      <c r="P774" s="23">
        <v>1</v>
      </c>
      <c r="Q774" s="43" t="str">
        <f>VLOOKUP($D774,Sheet1!$J$5:$L$192,2,TRUE)</f>
        <v>/|.</v>
      </c>
      <c r="R774" s="23">
        <f>FLOOR(VLOOKUP($D774,Sheet1!$M$5:$O$192,3,TRUE),1)</f>
        <v>43</v>
      </c>
      <c r="S774" s="42" t="str">
        <f>VLOOKUP($D774,Sheet1!$M$5:$O$192,2,TRUE)</f>
        <v>)|~''</v>
      </c>
      <c r="T774" s="117">
        <f>IF(ABS(D774-VLOOKUP($D774,Sheet1!$M$5:$T$192,8,TRUE))&lt;10^-10,"SoCA",D774-VLOOKUP($D774,Sheet1!$M$5:$T$192,8,TRUE))</f>
        <v>-0.11717518524220338</v>
      </c>
      <c r="U774" s="109">
        <f>IF(VLOOKUP($D774,Sheet1!$M$5:$U$192,9,TRUE)=0,"",IF(ABS(D774-VLOOKUP($D774,Sheet1!$M$5:$U$192,9,TRUE))&lt;10^-10,"Alt.",D774-VLOOKUP($D774,Sheet1!$M$5:$U$192,9,TRUE)))</f>
        <v>-0.10312301784774647</v>
      </c>
      <c r="V774" s="132">
        <f>$D774-Sheet1!$M$3*$R774</f>
        <v>-0.18315400513489166</v>
      </c>
      <c r="Z774" s="6"/>
      <c r="AA774" s="61"/>
    </row>
    <row r="775" spans="1:27" ht="13.5">
      <c r="A775" s="6" t="s">
        <v>1875</v>
      </c>
      <c r="B775">
        <v>2893401</v>
      </c>
      <c r="C775">
        <v>2928640</v>
      </c>
      <c r="D775" s="13">
        <f t="shared" si="16"/>
        <v>20.95749640677807</v>
      </c>
      <c r="E775" s="61">
        <v>13</v>
      </c>
      <c r="F775" s="65">
        <v>88.702716514465237</v>
      </c>
      <c r="G775" s="59">
        <v>1711</v>
      </c>
      <c r="H775" s="63">
        <v>1000080</v>
      </c>
      <c r="I775" s="65">
        <v>-11.290429406081689</v>
      </c>
      <c r="J775" s="6">
        <f>VLOOKUP($D775,Sheet1!$A$5:$C$192,3,TRUE)</f>
        <v>4</v>
      </c>
      <c r="K775" s="42" t="str">
        <f>VLOOKUP($D775,Sheet1!$A$5:$C$192,2,TRUE)</f>
        <v>/|</v>
      </c>
      <c r="L775" s="6">
        <f>FLOOR(VLOOKUP($D775,Sheet1!$D$5:$F$192,3,TRUE),1)</f>
        <v>9</v>
      </c>
      <c r="M775" s="42" t="str">
        <f>VLOOKUP($D775,Sheet1!$D$5:$F$192,2,TRUE)</f>
        <v>/|</v>
      </c>
      <c r="N775" s="23">
        <f>FLOOR(VLOOKUP($D775,Sheet1!$G$5:$I$192,3,TRUE),1)</f>
        <v>11</v>
      </c>
      <c r="O775" s="42" t="str">
        <f>VLOOKUP($D775,Sheet1!$G$5:$I$192,2,TRUE)</f>
        <v>/|</v>
      </c>
      <c r="P775" s="23">
        <v>1</v>
      </c>
      <c r="Q775" s="43" t="str">
        <f>VLOOKUP($D775,Sheet1!$J$5:$L$192,2,TRUE)</f>
        <v>/|.</v>
      </c>
      <c r="R775" s="23">
        <f>FLOOR(VLOOKUP($D775,Sheet1!$M$5:$O$192,3,TRUE),1)</f>
        <v>43</v>
      </c>
      <c r="S775" s="42" t="str">
        <f>VLOOKUP($D775,Sheet1!$M$5:$O$192,2,TRUE)</f>
        <v>/|.</v>
      </c>
      <c r="T775" s="117">
        <f>IF(ABS(D775-VLOOKUP($D775,Sheet1!$M$5:$T$192,8,TRUE))&lt;10^-10,"SoCA",D775-VLOOKUP($D775,Sheet1!$M$5:$T$192,8,TRUE))</f>
        <v>-0.12607702398188536</v>
      </c>
      <c r="U775" s="109">
        <f>IF(VLOOKUP($D775,Sheet1!$M$5:$U$192,9,TRUE)=0,"",IF(ABS(D775-VLOOKUP($D775,Sheet1!$M$5:$U$192,9,TRUE))&lt;10^-10,"Alt.",D775-VLOOKUP($D775,Sheet1!$M$5:$U$192,9,TRUE)))</f>
        <v>-0.15303731918432106</v>
      </c>
      <c r="V775" s="132">
        <f>$D775-Sheet1!$M$3*$R775</f>
        <v>-2.2998273400524738E-2</v>
      </c>
      <c r="Z775" s="6"/>
      <c r="AA775" s="61"/>
    </row>
    <row r="776" spans="1:27" ht="13.5">
      <c r="A776" s="6" t="s">
        <v>1703</v>
      </c>
      <c r="B776" s="6">
        <f>2^3*5^5*7</f>
        <v>175000</v>
      </c>
      <c r="C776" s="6">
        <f>3^11</f>
        <v>177147</v>
      </c>
      <c r="D776" s="13">
        <f t="shared" si="16"/>
        <v>21.110533725962732</v>
      </c>
      <c r="E776" s="61">
        <v>7</v>
      </c>
      <c r="F776" s="65">
        <v>98.450385075304439</v>
      </c>
      <c r="G776" s="6">
        <v>1599</v>
      </c>
      <c r="H776" s="6">
        <v>1552</v>
      </c>
      <c r="I776" s="65">
        <v>9.7001475286308025</v>
      </c>
      <c r="J776" s="6">
        <f>VLOOKUP($D776,Sheet1!$A$5:$C$192,3,TRUE)</f>
        <v>4</v>
      </c>
      <c r="K776" s="42" t="str">
        <f>VLOOKUP($D776,Sheet1!$A$5:$C$192,2,TRUE)</f>
        <v>/|</v>
      </c>
      <c r="L776" s="6">
        <f>FLOOR(VLOOKUP($D776,Sheet1!$D$5:$F$192,3,TRUE),1)</f>
        <v>9</v>
      </c>
      <c r="M776" s="42" t="str">
        <f>VLOOKUP($D776,Sheet1!$D$5:$F$192,2,TRUE)</f>
        <v>/|</v>
      </c>
      <c r="N776" s="23">
        <f>FLOOR(VLOOKUP($D776,Sheet1!$G$5:$I$192,3,TRUE),1)</f>
        <v>11</v>
      </c>
      <c r="O776" s="42" t="str">
        <f>VLOOKUP($D776,Sheet1!$G$5:$I$192,2,TRUE)</f>
        <v>/|</v>
      </c>
      <c r="P776" s="23">
        <v>1</v>
      </c>
      <c r="Q776" s="43" t="str">
        <f>VLOOKUP($D776,Sheet1!$J$5:$L$192,2,TRUE)</f>
        <v>/|.</v>
      </c>
      <c r="R776" s="23">
        <f>FLOOR(VLOOKUP($D776,Sheet1!$M$5:$O$192,3,TRUE),1)</f>
        <v>43</v>
      </c>
      <c r="S776" s="42" t="str">
        <f>VLOOKUP($D776,Sheet1!$M$5:$O$192,2,TRUE)</f>
        <v>/|.</v>
      </c>
      <c r="T776" s="117">
        <f>IF(ABS(D776-VLOOKUP($D776,Sheet1!$M$5:$T$192,8,TRUE))&lt;10^-10,"SoCA",D776-VLOOKUP($D776,Sheet1!$M$5:$T$192,8,TRUE))</f>
        <v>2.6960295202776763E-2</v>
      </c>
      <c r="U776" s="125" t="str">
        <f>IF(VLOOKUP($D776,Sheet1!$M$5:$U$192,9,TRUE)=0,"",IF(ABS(D776-VLOOKUP($D776,Sheet1!$M$5:$U$192,9,TRUE))&lt;10^-10,"Alt.",D776-VLOOKUP($D776,Sheet1!$M$5:$U$192,9,TRUE)))</f>
        <v>Alt.</v>
      </c>
      <c r="V776" s="132">
        <f>$D776-Sheet1!$M$3*$R776</f>
        <v>0.13003904578413739</v>
      </c>
      <c r="Z776" s="6"/>
      <c r="AA776" s="61"/>
    </row>
    <row r="777" spans="1:27" ht="13.5">
      <c r="A777" t="s">
        <v>583</v>
      </c>
      <c r="B777">
        <v>2403</v>
      </c>
      <c r="C777">
        <v>2432</v>
      </c>
      <c r="D777" s="13">
        <f t="shared" si="16"/>
        <v>20.767896376463209</v>
      </c>
      <c r="E777" s="61" t="s">
        <v>1931</v>
      </c>
      <c r="F777" s="65">
        <v>108.35587873191365</v>
      </c>
      <c r="G777" s="6">
        <v>444</v>
      </c>
      <c r="H777" s="6">
        <v>428</v>
      </c>
      <c r="I777" s="65">
        <v>-4.2787550414646862</v>
      </c>
      <c r="J777" s="6">
        <f>VLOOKUP($D777,Sheet1!$A$5:$C$192,3,TRUE)</f>
        <v>4</v>
      </c>
      <c r="K777" s="42" t="str">
        <f>VLOOKUP($D777,Sheet1!$A$5:$C$192,2,TRUE)</f>
        <v>/|</v>
      </c>
      <c r="L777" s="6">
        <f>FLOOR(VLOOKUP($D777,Sheet1!$D$5:$F$192,3,TRUE),1)</f>
        <v>9</v>
      </c>
      <c r="M777" s="42" t="str">
        <f>VLOOKUP($D777,Sheet1!$D$5:$F$192,2,TRUE)</f>
        <v>/|</v>
      </c>
      <c r="N777" s="23">
        <f>FLOOR(VLOOKUP($D777,Sheet1!$G$5:$I$192,3,TRUE),1)</f>
        <v>11</v>
      </c>
      <c r="O777" s="42" t="str">
        <f>VLOOKUP($D777,Sheet1!$G$5:$I$192,2,TRUE)</f>
        <v>/|</v>
      </c>
      <c r="P777" s="23">
        <v>1</v>
      </c>
      <c r="Q777" s="43" t="str">
        <f>VLOOKUP($D777,Sheet1!$J$5:$L$192,2,TRUE)</f>
        <v>/|.</v>
      </c>
      <c r="R777" s="23">
        <f>FLOOR(VLOOKUP($D777,Sheet1!$M$5:$O$192,3,TRUE),1)</f>
        <v>43</v>
      </c>
      <c r="S777" s="42" t="str">
        <f>VLOOKUP($D777,Sheet1!$M$5:$O$192,2,TRUE)</f>
        <v>)|~''</v>
      </c>
      <c r="T777" s="117">
        <f>IF(ABS(D777-VLOOKUP($D777,Sheet1!$M$5:$T$192,8,TRUE))&lt;10^-10,"SoCA",D777-VLOOKUP($D777,Sheet1!$M$5:$T$192,8,TRUE))</f>
        <v>-0.14661948382269685</v>
      </c>
      <c r="U777" s="109">
        <f>IF(VLOOKUP($D777,Sheet1!$M$5:$U$192,9,TRUE)=0,"",IF(ABS(D777-VLOOKUP($D777,Sheet1!$M$5:$U$192,9,TRUE))&lt;10^-10,"Alt.",D777-VLOOKUP($D777,Sheet1!$M$5:$U$192,9,TRUE)))</f>
        <v>-0.13256731642823993</v>
      </c>
      <c r="V777" s="132">
        <f>$D777-Sheet1!$M$3*$R777</f>
        <v>-0.21259830371538513</v>
      </c>
      <c r="Z777" s="6"/>
      <c r="AA777" s="61"/>
    </row>
    <row r="778" spans="1:27" ht="13.5">
      <c r="A778" t="s">
        <v>1701</v>
      </c>
      <c r="B778">
        <v>131072000</v>
      </c>
      <c r="C778">
        <v>132683103</v>
      </c>
      <c r="D778" s="13">
        <f t="shared" si="16"/>
        <v>21.150158075258446</v>
      </c>
      <c r="E778" s="61" t="s">
        <v>1931</v>
      </c>
      <c r="F778" s="65">
        <v>193.56076110671819</v>
      </c>
      <c r="G778" s="6">
        <v>1598</v>
      </c>
      <c r="H778" s="6">
        <v>1550</v>
      </c>
      <c r="I778" s="65">
        <v>9.6977077130853004</v>
      </c>
      <c r="J778" s="6">
        <f>VLOOKUP($D778,Sheet1!$A$5:$C$192,3,TRUE)</f>
        <v>4</v>
      </c>
      <c r="K778" s="42" t="str">
        <f>VLOOKUP($D778,Sheet1!$A$5:$C$192,2,TRUE)</f>
        <v>/|</v>
      </c>
      <c r="L778" s="6">
        <f>FLOOR(VLOOKUP($D778,Sheet1!$D$5:$F$192,3,TRUE),1)</f>
        <v>9</v>
      </c>
      <c r="M778" s="42" t="str">
        <f>VLOOKUP($D778,Sheet1!$D$5:$F$192,2,TRUE)</f>
        <v>/|</v>
      </c>
      <c r="N778" s="23">
        <f>FLOOR(VLOOKUP($D778,Sheet1!$G$5:$I$192,3,TRUE),1)</f>
        <v>11</v>
      </c>
      <c r="O778" s="42" t="str">
        <f>VLOOKUP($D778,Sheet1!$G$5:$I$192,2,TRUE)</f>
        <v>/|</v>
      </c>
      <c r="P778" s="23">
        <v>1</v>
      </c>
      <c r="Q778" s="43" t="str">
        <f>VLOOKUP($D778,Sheet1!$J$5:$L$192,2,TRUE)</f>
        <v>/|.</v>
      </c>
      <c r="R778" s="23">
        <f>FLOOR(VLOOKUP($D778,Sheet1!$M$5:$O$192,3,TRUE),1)</f>
        <v>43</v>
      </c>
      <c r="S778" s="42" t="str">
        <f>VLOOKUP($D778,Sheet1!$M$5:$O$192,2,TRUE)</f>
        <v>/|.</v>
      </c>
      <c r="T778" s="117">
        <f>IF(ABS(D778-VLOOKUP($D778,Sheet1!$M$5:$T$192,8,TRUE))&lt;10^-10,"SoCA",D778-VLOOKUP($D778,Sheet1!$M$5:$T$192,8,TRUE))</f>
        <v>6.6584644498490775E-2</v>
      </c>
      <c r="U778" s="109">
        <f>IF(VLOOKUP($D778,Sheet1!$M$5:$U$192,9,TRUE)=0,"",IF(ABS(D778-VLOOKUP($D778,Sheet1!$M$5:$U$192,9,TRUE))&lt;10^-10,"Alt.",D778-VLOOKUP($D778,Sheet1!$M$5:$U$192,9,TRUE)))</f>
        <v>3.9624349296055073E-2</v>
      </c>
      <c r="V778" s="132">
        <f>$D778-Sheet1!$M$3*$R778</f>
        <v>0.1696633950798514</v>
      </c>
      <c r="Z778" s="6"/>
      <c r="AA778" s="61"/>
    </row>
    <row r="779" spans="1:27" ht="13.5">
      <c r="A779" t="s">
        <v>1708</v>
      </c>
      <c r="B779">
        <v>12427264</v>
      </c>
      <c r="C779">
        <v>12577437</v>
      </c>
      <c r="D779" s="13">
        <f t="shared" si="16"/>
        <v>20.795108628439809</v>
      </c>
      <c r="E779" s="61" t="s">
        <v>1931</v>
      </c>
      <c r="F779" s="65">
        <v>218.86612158708689</v>
      </c>
      <c r="G779" s="6">
        <v>1603</v>
      </c>
      <c r="H779" s="6">
        <v>1557</v>
      </c>
      <c r="I779" s="65">
        <v>9.7195694010414826</v>
      </c>
      <c r="J779" s="6">
        <f>VLOOKUP($D779,Sheet1!$A$5:$C$192,3,TRUE)</f>
        <v>4</v>
      </c>
      <c r="K779" s="42" t="str">
        <f>VLOOKUP($D779,Sheet1!$A$5:$C$192,2,TRUE)</f>
        <v>/|</v>
      </c>
      <c r="L779" s="6">
        <f>FLOOR(VLOOKUP($D779,Sheet1!$D$5:$F$192,3,TRUE),1)</f>
        <v>9</v>
      </c>
      <c r="M779" s="42" t="str">
        <f>VLOOKUP($D779,Sheet1!$D$5:$F$192,2,TRUE)</f>
        <v>/|</v>
      </c>
      <c r="N779" s="23">
        <f>FLOOR(VLOOKUP($D779,Sheet1!$G$5:$I$192,3,TRUE),1)</f>
        <v>11</v>
      </c>
      <c r="O779" s="42" t="str">
        <f>VLOOKUP($D779,Sheet1!$G$5:$I$192,2,TRUE)</f>
        <v>/|</v>
      </c>
      <c r="P779" s="23">
        <v>1</v>
      </c>
      <c r="Q779" s="43" t="str">
        <f>VLOOKUP($D779,Sheet1!$J$5:$L$192,2,TRUE)</f>
        <v>/|.</v>
      </c>
      <c r="R779" s="23">
        <f>FLOOR(VLOOKUP($D779,Sheet1!$M$5:$O$192,3,TRUE),1)</f>
        <v>43</v>
      </c>
      <c r="S779" s="42" t="str">
        <f>VLOOKUP($D779,Sheet1!$M$5:$O$192,2,TRUE)</f>
        <v>)|~''</v>
      </c>
      <c r="T779" s="117">
        <f>IF(ABS(D779-VLOOKUP($D779,Sheet1!$M$5:$T$192,8,TRUE))&lt;10^-10,"SoCA",D779-VLOOKUP($D779,Sheet1!$M$5:$T$192,8,TRUE))</f>
        <v>-0.11940723184609681</v>
      </c>
      <c r="U779" s="109">
        <f>IF(VLOOKUP($D779,Sheet1!$M$5:$U$192,9,TRUE)=0,"",IF(ABS(D779-VLOOKUP($D779,Sheet1!$M$5:$U$192,9,TRUE))&lt;10^-10,"Alt.",D779-VLOOKUP($D779,Sheet1!$M$5:$U$192,9,TRUE)))</f>
        <v>-0.10535506445163989</v>
      </c>
      <c r="V779" s="132">
        <f>$D779-Sheet1!$M$3*$R779</f>
        <v>-0.18538605173878508</v>
      </c>
      <c r="Z779" s="6"/>
      <c r="AA779" s="61"/>
    </row>
    <row r="780" spans="1:27" ht="13.5">
      <c r="A780" t="s">
        <v>848</v>
      </c>
      <c r="B780">
        <v>248</v>
      </c>
      <c r="C780">
        <v>251</v>
      </c>
      <c r="D780" s="13">
        <f t="shared" si="16"/>
        <v>20.816692276676314</v>
      </c>
      <c r="E780" s="61" t="s">
        <v>1931</v>
      </c>
      <c r="F780" s="65">
        <v>282.0535402105877</v>
      </c>
      <c r="G780" s="6">
        <v>765</v>
      </c>
      <c r="H780" s="6">
        <v>695</v>
      </c>
      <c r="I780" s="65">
        <v>-1.2817595828139496</v>
      </c>
      <c r="J780" s="6">
        <f>VLOOKUP($D780,Sheet1!$A$5:$C$192,3,TRUE)</f>
        <v>4</v>
      </c>
      <c r="K780" s="42" t="str">
        <f>VLOOKUP($D780,Sheet1!$A$5:$C$192,2,TRUE)</f>
        <v>/|</v>
      </c>
      <c r="L780" s="6">
        <f>FLOOR(VLOOKUP($D780,Sheet1!$D$5:$F$192,3,TRUE),1)</f>
        <v>9</v>
      </c>
      <c r="M780" s="42" t="str">
        <f>VLOOKUP($D780,Sheet1!$D$5:$F$192,2,TRUE)</f>
        <v>/|</v>
      </c>
      <c r="N780" s="23">
        <f>FLOOR(VLOOKUP($D780,Sheet1!$G$5:$I$192,3,TRUE),1)</f>
        <v>11</v>
      </c>
      <c r="O780" s="42" t="str">
        <f>VLOOKUP($D780,Sheet1!$G$5:$I$192,2,TRUE)</f>
        <v>/|</v>
      </c>
      <c r="P780" s="23">
        <v>1</v>
      </c>
      <c r="Q780" s="43" t="str">
        <f>VLOOKUP($D780,Sheet1!$J$5:$L$192,2,TRUE)</f>
        <v>/|.</v>
      </c>
      <c r="R780" s="23">
        <f>FLOOR(VLOOKUP($D780,Sheet1!$M$5:$O$192,3,TRUE),1)</f>
        <v>43</v>
      </c>
      <c r="S780" s="42" t="str">
        <f>VLOOKUP($D780,Sheet1!$M$5:$O$192,2,TRUE)</f>
        <v>)|~''</v>
      </c>
      <c r="T780" s="117">
        <f>IF(ABS(D780-VLOOKUP($D780,Sheet1!$M$5:$T$192,8,TRUE))&lt;10^-10,"SoCA",D780-VLOOKUP($D780,Sheet1!$M$5:$T$192,8,TRUE))</f>
        <v>-9.7823583609592646E-2</v>
      </c>
      <c r="U780" s="109">
        <f>IF(VLOOKUP($D780,Sheet1!$M$5:$U$192,9,TRUE)=0,"",IF(ABS(D780-VLOOKUP($D780,Sheet1!$M$5:$U$192,9,TRUE))&lt;10^-10,"Alt.",D780-VLOOKUP($D780,Sheet1!$M$5:$U$192,9,TRUE)))</f>
        <v>-8.377141621513573E-2</v>
      </c>
      <c r="V780" s="132">
        <f>$D780-Sheet1!$M$3*$R780</f>
        <v>-0.16380240350228092</v>
      </c>
      <c r="Z780" s="6"/>
      <c r="AA780" s="61"/>
    </row>
    <row r="781" spans="1:27" ht="13.5">
      <c r="A781" t="s">
        <v>1295</v>
      </c>
      <c r="B781">
        <v>10240000</v>
      </c>
      <c r="C781">
        <v>10364193</v>
      </c>
      <c r="D781" s="13">
        <f t="shared" si="16"/>
        <v>20.87048535749372</v>
      </c>
      <c r="E781" s="61" t="s">
        <v>1931</v>
      </c>
      <c r="F781" s="65">
        <v>988.87084821713154</v>
      </c>
      <c r="G781" s="6">
        <v>1204</v>
      </c>
      <c r="H781" s="6">
        <v>1144</v>
      </c>
      <c r="I781" s="65">
        <v>5.7149281812212589</v>
      </c>
      <c r="J781" s="6">
        <f>VLOOKUP($D781,Sheet1!$A$5:$C$192,3,TRUE)</f>
        <v>4</v>
      </c>
      <c r="K781" s="42" t="str">
        <f>VLOOKUP($D781,Sheet1!$A$5:$C$192,2,TRUE)</f>
        <v>/|</v>
      </c>
      <c r="L781" s="6">
        <f>FLOOR(VLOOKUP($D781,Sheet1!$D$5:$F$192,3,TRUE),1)</f>
        <v>9</v>
      </c>
      <c r="M781" s="42" t="str">
        <f>VLOOKUP($D781,Sheet1!$D$5:$F$192,2,TRUE)</f>
        <v>/|</v>
      </c>
      <c r="N781" s="23">
        <f>FLOOR(VLOOKUP($D781,Sheet1!$G$5:$I$192,3,TRUE),1)</f>
        <v>11</v>
      </c>
      <c r="O781" s="42" t="str">
        <f>VLOOKUP($D781,Sheet1!$G$5:$I$192,2,TRUE)</f>
        <v>/|</v>
      </c>
      <c r="P781" s="23">
        <v>1</v>
      </c>
      <c r="Q781" s="43" t="str">
        <f>VLOOKUP($D781,Sheet1!$J$5:$L$192,2,TRUE)</f>
        <v>/|.</v>
      </c>
      <c r="R781" s="23">
        <f>FLOOR(VLOOKUP($D781,Sheet1!$M$5:$O$192,3,TRUE),1)</f>
        <v>43</v>
      </c>
      <c r="S781" s="42" t="str">
        <f>VLOOKUP($D781,Sheet1!$M$5:$O$192,2,TRUE)</f>
        <v>)|~''</v>
      </c>
      <c r="T781" s="117">
        <f>IF(ABS(D781-VLOOKUP($D781,Sheet1!$M$5:$T$192,8,TRUE))&lt;10^-10,"SoCA",D781-VLOOKUP($D781,Sheet1!$M$5:$T$192,8,TRUE))</f>
        <v>-4.4030502792185899E-2</v>
      </c>
      <c r="U781" s="109">
        <f>IF(VLOOKUP($D781,Sheet1!$M$5:$U$192,9,TRUE)=0,"",IF(ABS(D781-VLOOKUP($D781,Sheet1!$M$5:$U$192,9,TRUE))&lt;10^-10,"Alt.",D781-VLOOKUP($D781,Sheet1!$M$5:$U$192,9,TRUE)))</f>
        <v>-2.9978335397728983E-2</v>
      </c>
      <c r="V781" s="132">
        <f>$D781-Sheet1!$M$3*$R781</f>
        <v>-0.11000932268487418</v>
      </c>
      <c r="Z781" s="6"/>
      <c r="AA781" s="61"/>
    </row>
    <row r="782" spans="1:27" ht="13.5">
      <c r="A782" t="s">
        <v>1705</v>
      </c>
      <c r="B782">
        <v>411223457792</v>
      </c>
      <c r="C782">
        <v>416200322061</v>
      </c>
      <c r="D782" s="13">
        <f t="shared" si="16"/>
        <v>20.826621132717023</v>
      </c>
      <c r="E782" s="61" t="s">
        <v>1931</v>
      </c>
      <c r="F782" s="65">
        <v>85052.746003361492</v>
      </c>
      <c r="G782" s="6">
        <v>1601</v>
      </c>
      <c r="H782" s="6">
        <v>1554</v>
      </c>
      <c r="I782" s="65">
        <v>9.7176290613468321</v>
      </c>
      <c r="J782" s="6">
        <f>VLOOKUP($D782,Sheet1!$A$5:$C$192,3,TRUE)</f>
        <v>4</v>
      </c>
      <c r="K782" s="42" t="str">
        <f>VLOOKUP($D782,Sheet1!$A$5:$C$192,2,TRUE)</f>
        <v>/|</v>
      </c>
      <c r="L782" s="6">
        <f>FLOOR(VLOOKUP($D782,Sheet1!$D$5:$F$192,3,TRUE),1)</f>
        <v>9</v>
      </c>
      <c r="M782" s="42" t="str">
        <f>VLOOKUP($D782,Sheet1!$D$5:$F$192,2,TRUE)</f>
        <v>/|</v>
      </c>
      <c r="N782" s="23">
        <f>FLOOR(VLOOKUP($D782,Sheet1!$G$5:$I$192,3,TRUE),1)</f>
        <v>11</v>
      </c>
      <c r="O782" s="42" t="str">
        <f>VLOOKUP($D782,Sheet1!$G$5:$I$192,2,TRUE)</f>
        <v>/|</v>
      </c>
      <c r="P782" s="23">
        <v>1</v>
      </c>
      <c r="Q782" s="43" t="str">
        <f>VLOOKUP($D782,Sheet1!$J$5:$L$192,2,TRUE)</f>
        <v>/|.</v>
      </c>
      <c r="R782" s="23">
        <f>FLOOR(VLOOKUP($D782,Sheet1!$M$5:$O$192,3,TRUE),1)</f>
        <v>43</v>
      </c>
      <c r="S782" s="42" t="str">
        <f>VLOOKUP($D782,Sheet1!$M$5:$O$192,2,TRUE)</f>
        <v>)|~''</v>
      </c>
      <c r="T782" s="117">
        <f>IF(ABS(D782-VLOOKUP($D782,Sheet1!$M$5:$T$192,8,TRUE))&lt;10^-10,"SoCA",D782-VLOOKUP($D782,Sheet1!$M$5:$T$192,8,TRUE))</f>
        <v>-8.7894727568883724E-2</v>
      </c>
      <c r="U782" s="109">
        <f>IF(VLOOKUP($D782,Sheet1!$M$5:$U$192,9,TRUE)=0,"",IF(ABS(D782-VLOOKUP($D782,Sheet1!$M$5:$U$192,9,TRUE))&lt;10^-10,"Alt.",D782-VLOOKUP($D782,Sheet1!$M$5:$U$192,9,TRUE)))</f>
        <v>-7.3842560174426808E-2</v>
      </c>
      <c r="V782" s="132">
        <f>$D782-Sheet1!$M$3*$R782</f>
        <v>-0.153873547461572</v>
      </c>
      <c r="Z782" s="6"/>
      <c r="AA782" s="61"/>
    </row>
    <row r="783" spans="1:27" ht="13.5">
      <c r="A783" t="s">
        <v>958</v>
      </c>
      <c r="B783">
        <v>491520</v>
      </c>
      <c r="C783">
        <v>497483</v>
      </c>
      <c r="D783" s="13">
        <f t="shared" si="16"/>
        <v>20.876526624336954</v>
      </c>
      <c r="E783" s="61" t="s">
        <v>1931</v>
      </c>
      <c r="F783" s="65">
        <v>85297.412149556621</v>
      </c>
      <c r="G783" s="6">
        <v>868</v>
      </c>
      <c r="H783" s="6">
        <v>806</v>
      </c>
      <c r="I783" s="65">
        <v>-2.285443801587812</v>
      </c>
      <c r="J783" s="6">
        <f>VLOOKUP($D783,Sheet1!$A$5:$C$192,3,TRUE)</f>
        <v>4</v>
      </c>
      <c r="K783" s="42" t="str">
        <f>VLOOKUP($D783,Sheet1!$A$5:$C$192,2,TRUE)</f>
        <v>/|</v>
      </c>
      <c r="L783" s="6">
        <f>FLOOR(VLOOKUP($D783,Sheet1!$D$5:$F$192,3,TRUE),1)</f>
        <v>9</v>
      </c>
      <c r="M783" s="42" t="str">
        <f>VLOOKUP($D783,Sheet1!$D$5:$F$192,2,TRUE)</f>
        <v>/|</v>
      </c>
      <c r="N783" s="23">
        <f>FLOOR(VLOOKUP($D783,Sheet1!$G$5:$I$192,3,TRUE),1)</f>
        <v>11</v>
      </c>
      <c r="O783" s="42" t="str">
        <f>VLOOKUP($D783,Sheet1!$G$5:$I$192,2,TRUE)</f>
        <v>/|</v>
      </c>
      <c r="P783" s="23">
        <v>1</v>
      </c>
      <c r="Q783" s="43" t="str">
        <f>VLOOKUP($D783,Sheet1!$J$5:$L$192,2,TRUE)</f>
        <v>/|.</v>
      </c>
      <c r="R783" s="23">
        <f>FLOOR(VLOOKUP($D783,Sheet1!$M$5:$O$192,3,TRUE),1)</f>
        <v>43</v>
      </c>
      <c r="S783" s="42" t="str">
        <f>VLOOKUP($D783,Sheet1!$M$5:$O$192,2,TRUE)</f>
        <v>)|~''</v>
      </c>
      <c r="T783" s="117">
        <f>IF(ABS(D783-VLOOKUP($D783,Sheet1!$M$5:$T$192,8,TRUE))&lt;10^-10,"SoCA",D783-VLOOKUP($D783,Sheet1!$M$5:$T$192,8,TRUE))</f>
        <v>-3.7989235948952427E-2</v>
      </c>
      <c r="U783" s="109">
        <f>IF(VLOOKUP($D783,Sheet1!$M$5:$U$192,9,TRUE)=0,"",IF(ABS(D783-VLOOKUP($D783,Sheet1!$M$5:$U$192,9,TRUE))&lt;10^-10,"Alt.",D783-VLOOKUP($D783,Sheet1!$M$5:$U$192,9,TRUE)))</f>
        <v>-2.3937068554495511E-2</v>
      </c>
      <c r="V783" s="132">
        <f>$D783-Sheet1!$M$3*$R783</f>
        <v>-0.10396805584164071</v>
      </c>
      <c r="Z783" s="6"/>
      <c r="AA783" s="61"/>
    </row>
    <row r="784" spans="1:27" ht="13.5">
      <c r="A784" s="80" t="s">
        <v>92</v>
      </c>
      <c r="B784" s="80">
        <f>2^4*5</f>
        <v>80</v>
      </c>
      <c r="C784" s="80">
        <f>3^4</f>
        <v>81</v>
      </c>
      <c r="D784" s="51">
        <f t="shared" si="16"/>
        <v>21.50628959671478</v>
      </c>
      <c r="E784" s="61">
        <v>5</v>
      </c>
      <c r="F784" s="65">
        <v>6.1203424295241931</v>
      </c>
      <c r="G784" s="25">
        <v>2</v>
      </c>
      <c r="H784" s="6">
        <v>2</v>
      </c>
      <c r="I784" s="65">
        <v>2.6757793978514623</v>
      </c>
      <c r="J784" s="81">
        <f>VLOOKUP($D784,Sheet1!$A$5:$C$192,3,TRUE)</f>
        <v>4</v>
      </c>
      <c r="K784" s="82" t="str">
        <f>VLOOKUP($D784,Sheet1!$A$5:$C$192,2,TRUE)</f>
        <v>/|</v>
      </c>
      <c r="L784" s="81">
        <f>FLOOR(VLOOKUP($D784,Sheet1!$D$5:$F$192,3,TRUE),1)</f>
        <v>9</v>
      </c>
      <c r="M784" s="82" t="str">
        <f>VLOOKUP($D784,Sheet1!$D$5:$F$192,2,TRUE)</f>
        <v>/|</v>
      </c>
      <c r="N784" s="81">
        <f>FLOOR(VLOOKUP($D784,Sheet1!$G$5:$I$192,3,TRUE),1)</f>
        <v>11</v>
      </c>
      <c r="O784" s="82" t="str">
        <f>VLOOKUP($D784,Sheet1!$G$5:$I$192,2,TRUE)</f>
        <v>/|</v>
      </c>
      <c r="P784" s="81">
        <v>1</v>
      </c>
      <c r="Q784" s="82" t="str">
        <f>VLOOKUP($D784,Sheet1!$J$5:$L$192,2,TRUE)</f>
        <v>/|</v>
      </c>
      <c r="R784" s="81">
        <f>FLOOR(VLOOKUP($D784,Sheet1!$M$5:$O$192,3,TRUE),1)</f>
        <v>44</v>
      </c>
      <c r="S784" s="82" t="str">
        <f>VLOOKUP($D784,Sheet1!$M$5:$O$192,2,TRUE)</f>
        <v>/|</v>
      </c>
      <c r="T784" s="111" t="str">
        <f>IF(ABS(D784-VLOOKUP($D784,Sheet1!$M$5:$T$192,8,TRUE))&lt;10^-10,"SoCA",D784-VLOOKUP($D784,Sheet1!$M$5:$T$192,8,TRUE))</f>
        <v>SoCA</v>
      </c>
      <c r="U784" s="110" t="str">
        <f>IF(VLOOKUP($D784,Sheet1!$M$5:$U$192,9,TRUE)=0,"",IF(ABS(D784-VLOOKUP($D784,Sheet1!$M$5:$U$192,9,TRUE))&lt;10^-10,"Alt.",D784-VLOOKUP($D784,Sheet1!$M$5:$U$192,9,TRUE)))</f>
        <v/>
      </c>
      <c r="V784" s="135">
        <f>$D784-Sheet1!$M$3*$R784</f>
        <v>3.7876435601798875E-2</v>
      </c>
      <c r="Z784" s="6"/>
      <c r="AA784" s="61"/>
    </row>
    <row r="785" spans="1:27" ht="13.5">
      <c r="A785" s="6" t="s">
        <v>381</v>
      </c>
      <c r="B785" s="6">
        <f>3^7*37</f>
        <v>80919</v>
      </c>
      <c r="C785" s="6">
        <f>2^14*5</f>
        <v>81920</v>
      </c>
      <c r="D785" s="13">
        <f t="shared" si="16"/>
        <v>21.284669052383109</v>
      </c>
      <c r="E785" s="61">
        <v>37</v>
      </c>
      <c r="F785" s="65">
        <v>46.656476862621126</v>
      </c>
      <c r="G785" s="6">
        <v>186</v>
      </c>
      <c r="H785" s="6">
        <v>216</v>
      </c>
      <c r="I785" s="65">
        <v>-8.3105746178264344</v>
      </c>
      <c r="J785" s="6">
        <f>VLOOKUP($D785,Sheet1!$A$5:$C$192,3,TRUE)</f>
        <v>4</v>
      </c>
      <c r="K785" s="42" t="str">
        <f>VLOOKUP($D785,Sheet1!$A$5:$C$192,2,TRUE)</f>
        <v>/|</v>
      </c>
      <c r="L785" s="6">
        <f>FLOOR(VLOOKUP($D785,Sheet1!$D$5:$F$192,3,TRUE),1)</f>
        <v>9</v>
      </c>
      <c r="M785" s="42" t="str">
        <f>VLOOKUP($D785,Sheet1!$D$5:$F$192,2,TRUE)</f>
        <v>/|</v>
      </c>
      <c r="N785" s="23">
        <f>FLOOR(VLOOKUP($D785,Sheet1!$G$5:$I$192,3,TRUE),1)</f>
        <v>11</v>
      </c>
      <c r="O785" s="42" t="str">
        <f>VLOOKUP($D785,Sheet1!$G$5:$I$192,2,TRUE)</f>
        <v>/|</v>
      </c>
      <c r="P785" s="23">
        <v>1</v>
      </c>
      <c r="Q785" s="43" t="str">
        <f>VLOOKUP($D785,Sheet1!$J$5:$L$192,2,TRUE)</f>
        <v>/|</v>
      </c>
      <c r="R785" s="23">
        <f>FLOOR(VLOOKUP($D785,Sheet1!$M$5:$O$192,3,TRUE),1)</f>
        <v>44</v>
      </c>
      <c r="S785" s="42" t="str">
        <f>VLOOKUP($D785,Sheet1!$M$5:$O$192,2,TRUE)</f>
        <v>/|</v>
      </c>
      <c r="T785" s="117">
        <f>IF(ABS(D785-VLOOKUP($D785,Sheet1!$M$5:$T$192,8,TRUE))&lt;10^-10,"SoCA",D785-VLOOKUP($D785,Sheet1!$M$5:$T$192,8,TRUE))</f>
        <v>-0.221620544331671</v>
      </c>
      <c r="U785" s="109" t="str">
        <f>IF(VLOOKUP($D785,Sheet1!$M$5:$U$192,9,TRUE)=0,"",IF(ABS(D785-VLOOKUP($D785,Sheet1!$M$5:$U$192,9,TRUE))&lt;10^-10,"Alt.",D785-VLOOKUP($D785,Sheet1!$M$5:$U$192,9,TRUE)))</f>
        <v/>
      </c>
      <c r="V785" s="132">
        <f>$D785-Sheet1!$M$3*$R785</f>
        <v>-0.18374410872987212</v>
      </c>
      <c r="Z785" s="6"/>
      <c r="AA785" s="61"/>
    </row>
    <row r="786" spans="1:27" ht="13.5">
      <c r="A786" s="6" t="s">
        <v>301</v>
      </c>
      <c r="B786" s="6">
        <f>3^4</f>
        <v>81</v>
      </c>
      <c r="C786" s="6">
        <f>2*41</f>
        <v>82</v>
      </c>
      <c r="D786" s="13">
        <f t="shared" si="16"/>
        <v>21.242402080150853</v>
      </c>
      <c r="E786" s="61">
        <v>41</v>
      </c>
      <c r="F786" s="65">
        <v>49.77778041502085</v>
      </c>
      <c r="G786" s="6">
        <v>136</v>
      </c>
      <c r="H786" s="6">
        <v>128</v>
      </c>
      <c r="I786" s="65">
        <v>-5.3079720863591318</v>
      </c>
      <c r="J786" s="6">
        <f>VLOOKUP($D786,Sheet1!$A$5:$C$192,3,TRUE)</f>
        <v>4</v>
      </c>
      <c r="K786" s="42" t="str">
        <f>VLOOKUP($D786,Sheet1!$A$5:$C$192,2,TRUE)</f>
        <v>/|</v>
      </c>
      <c r="L786" s="6">
        <f>FLOOR(VLOOKUP($D786,Sheet1!$D$5:$F$192,3,TRUE),1)</f>
        <v>9</v>
      </c>
      <c r="M786" s="42" t="str">
        <f>VLOOKUP($D786,Sheet1!$D$5:$F$192,2,TRUE)</f>
        <v>/|</v>
      </c>
      <c r="N786" s="23">
        <f>FLOOR(VLOOKUP($D786,Sheet1!$G$5:$I$192,3,TRUE),1)</f>
        <v>11</v>
      </c>
      <c r="O786" s="42" t="str">
        <f>VLOOKUP($D786,Sheet1!$G$5:$I$192,2,TRUE)</f>
        <v>/|</v>
      </c>
      <c r="P786" s="23">
        <v>1</v>
      </c>
      <c r="Q786" s="43" t="str">
        <f>VLOOKUP($D786,Sheet1!$J$5:$L$192,2,TRUE)</f>
        <v>/|</v>
      </c>
      <c r="R786" s="23">
        <f>FLOOR(VLOOKUP($D786,Sheet1!$M$5:$O$192,3,TRUE),1)</f>
        <v>44</v>
      </c>
      <c r="S786" s="42" t="str">
        <f>VLOOKUP($D786,Sheet1!$M$5:$O$192,2,TRUE)</f>
        <v>/|</v>
      </c>
      <c r="T786" s="117">
        <f>IF(ABS(D786-VLOOKUP($D786,Sheet1!$M$5:$T$192,8,TRUE))&lt;10^-10,"SoCA",D786-VLOOKUP($D786,Sheet1!$M$5:$T$192,8,TRUE))</f>
        <v>-0.26388751656392628</v>
      </c>
      <c r="U786" s="109" t="str">
        <f>IF(VLOOKUP($D786,Sheet1!$M$5:$U$192,9,TRUE)=0,"",IF(ABS(D786-VLOOKUP($D786,Sheet1!$M$5:$U$192,9,TRUE))&lt;10^-10,"Alt.",D786-VLOOKUP($D786,Sheet1!$M$5:$U$192,9,TRUE)))</f>
        <v/>
      </c>
      <c r="V786" s="132">
        <f>$D786-Sheet1!$M$3*$R786</f>
        <v>-0.22601108096212741</v>
      </c>
      <c r="Z786" s="6"/>
      <c r="AA786" s="61"/>
    </row>
    <row r="787" spans="1:27" ht="13.5">
      <c r="A787" t="s">
        <v>1057</v>
      </c>
      <c r="B787">
        <v>1521</v>
      </c>
      <c r="C787">
        <v>1540</v>
      </c>
      <c r="D787" s="13">
        <f t="shared" si="16"/>
        <v>21.492237429320415</v>
      </c>
      <c r="E787" s="61">
        <v>13</v>
      </c>
      <c r="F787" s="65">
        <v>58.952150806205793</v>
      </c>
      <c r="G787" s="6">
        <v>975</v>
      </c>
      <c r="H787" s="6">
        <v>906</v>
      </c>
      <c r="I787" s="65">
        <v>-3.3233553590072336</v>
      </c>
      <c r="J787" s="6">
        <f>VLOOKUP($D787,Sheet1!$A$5:$C$192,3,TRUE)</f>
        <v>4</v>
      </c>
      <c r="K787" s="42" t="str">
        <f>VLOOKUP($D787,Sheet1!$A$5:$C$192,2,TRUE)</f>
        <v>/|</v>
      </c>
      <c r="L787" s="6">
        <f>FLOOR(VLOOKUP($D787,Sheet1!$D$5:$F$192,3,TRUE),1)</f>
        <v>9</v>
      </c>
      <c r="M787" s="42" t="str">
        <f>VLOOKUP($D787,Sheet1!$D$5:$F$192,2,TRUE)</f>
        <v>/|</v>
      </c>
      <c r="N787" s="23">
        <f>FLOOR(VLOOKUP($D787,Sheet1!$G$5:$I$192,3,TRUE),1)</f>
        <v>11</v>
      </c>
      <c r="O787" s="42" t="str">
        <f>VLOOKUP($D787,Sheet1!$G$5:$I$192,2,TRUE)</f>
        <v>/|</v>
      </c>
      <c r="P787" s="23">
        <v>1</v>
      </c>
      <c r="Q787" s="43" t="str">
        <f>VLOOKUP($D787,Sheet1!$J$5:$L$192,2,TRUE)</f>
        <v>/|</v>
      </c>
      <c r="R787" s="23">
        <f>FLOOR(VLOOKUP($D787,Sheet1!$M$5:$O$192,3,TRUE),1)</f>
        <v>44</v>
      </c>
      <c r="S787" s="42" t="str">
        <f>VLOOKUP($D787,Sheet1!$M$5:$O$192,2,TRUE)</f>
        <v>/|</v>
      </c>
      <c r="T787" s="117">
        <f>IF(ABS(D787-VLOOKUP($D787,Sheet1!$M$5:$T$192,8,TRUE))&lt;10^-10,"SoCA",D787-VLOOKUP($D787,Sheet1!$M$5:$T$192,8,TRUE))</f>
        <v>-1.4052167394364545E-2</v>
      </c>
      <c r="U787" s="109" t="str">
        <f>IF(VLOOKUP($D787,Sheet1!$M$5:$U$192,9,TRUE)=0,"",IF(ABS(D787-VLOOKUP($D787,Sheet1!$M$5:$U$192,9,TRUE))&lt;10^-10,"Alt.",D787-VLOOKUP($D787,Sheet1!$M$5:$U$192,9,TRUE)))</f>
        <v/>
      </c>
      <c r="V787" s="132">
        <f>$D787-Sheet1!$M$3*$R787</f>
        <v>2.3824268207434329E-2</v>
      </c>
      <c r="Z787" s="6"/>
      <c r="AA787" s="61"/>
    </row>
    <row r="788" spans="1:27" ht="13.5">
      <c r="A788" t="s">
        <v>1758</v>
      </c>
      <c r="B788">
        <v>255879</v>
      </c>
      <c r="C788">
        <v>259072</v>
      </c>
      <c r="D788" s="13">
        <f t="shared" si="16"/>
        <v>21.469620075374827</v>
      </c>
      <c r="E788" s="61">
        <v>23</v>
      </c>
      <c r="F788" s="65">
        <v>75.663857966078268</v>
      </c>
      <c r="G788" s="6">
        <v>1667</v>
      </c>
      <c r="H788" s="6">
        <v>1607</v>
      </c>
      <c r="I788" s="65">
        <v>-10.321962726125298</v>
      </c>
      <c r="J788" s="6">
        <f>VLOOKUP($D788,Sheet1!$A$5:$C$192,3,TRUE)</f>
        <v>4</v>
      </c>
      <c r="K788" s="42" t="str">
        <f>VLOOKUP($D788,Sheet1!$A$5:$C$192,2,TRUE)</f>
        <v>/|</v>
      </c>
      <c r="L788" s="6">
        <f>FLOOR(VLOOKUP($D788,Sheet1!$D$5:$F$192,3,TRUE),1)</f>
        <v>9</v>
      </c>
      <c r="M788" s="42" t="str">
        <f>VLOOKUP($D788,Sheet1!$D$5:$F$192,2,TRUE)</f>
        <v>/|</v>
      </c>
      <c r="N788" s="23">
        <f>FLOOR(VLOOKUP($D788,Sheet1!$G$5:$I$192,3,TRUE),1)</f>
        <v>11</v>
      </c>
      <c r="O788" s="42" t="str">
        <f>VLOOKUP($D788,Sheet1!$G$5:$I$192,2,TRUE)</f>
        <v>/|</v>
      </c>
      <c r="P788" s="23">
        <v>1</v>
      </c>
      <c r="Q788" s="43" t="str">
        <f>VLOOKUP($D788,Sheet1!$J$5:$L$192,2,TRUE)</f>
        <v>/|</v>
      </c>
      <c r="R788" s="23">
        <f>FLOOR(VLOOKUP($D788,Sheet1!$M$5:$O$192,3,TRUE),1)</f>
        <v>44</v>
      </c>
      <c r="S788" s="42" t="str">
        <f>VLOOKUP($D788,Sheet1!$M$5:$O$192,2,TRUE)</f>
        <v>/|</v>
      </c>
      <c r="T788" s="117">
        <f>IF(ABS(D788-VLOOKUP($D788,Sheet1!$M$5:$T$192,8,TRUE))&lt;10^-10,"SoCA",D788-VLOOKUP($D788,Sheet1!$M$5:$T$192,8,TRUE))</f>
        <v>-3.6669521339952382E-2</v>
      </c>
      <c r="U788" s="109" t="str">
        <f>IF(VLOOKUP($D788,Sheet1!$M$5:$U$192,9,TRUE)=0,"",IF(ABS(D788-VLOOKUP($D788,Sheet1!$M$5:$U$192,9,TRUE))&lt;10^-10,"Alt.",D788-VLOOKUP($D788,Sheet1!$M$5:$U$192,9,TRUE)))</f>
        <v/>
      </c>
      <c r="V788" s="132">
        <f>$D788-Sheet1!$M$3*$R788</f>
        <v>1.2069142618464923E-3</v>
      </c>
      <c r="Z788" s="6"/>
      <c r="AA788" s="61"/>
    </row>
    <row r="789" spans="1:27" ht="13.5">
      <c r="A789" t="s">
        <v>1353</v>
      </c>
      <c r="B789">
        <v>2071575</v>
      </c>
      <c r="C789">
        <v>2097152</v>
      </c>
      <c r="D789" s="13">
        <f t="shared" si="16"/>
        <v>21.244053114386343</v>
      </c>
      <c r="E789" s="61">
        <v>31</v>
      </c>
      <c r="F789" s="65">
        <v>94.825604846306845</v>
      </c>
      <c r="G789" s="6">
        <v>1267</v>
      </c>
      <c r="H789" s="6">
        <v>1202</v>
      </c>
      <c r="I789" s="65">
        <v>-6.308073746552056</v>
      </c>
      <c r="J789" s="6">
        <f>VLOOKUP($D789,Sheet1!$A$5:$C$192,3,TRUE)</f>
        <v>4</v>
      </c>
      <c r="K789" s="42" t="str">
        <f>VLOOKUP($D789,Sheet1!$A$5:$C$192,2,TRUE)</f>
        <v>/|</v>
      </c>
      <c r="L789" s="6">
        <f>FLOOR(VLOOKUP($D789,Sheet1!$D$5:$F$192,3,TRUE),1)</f>
        <v>9</v>
      </c>
      <c r="M789" s="42" t="str">
        <f>VLOOKUP($D789,Sheet1!$D$5:$F$192,2,TRUE)</f>
        <v>/|</v>
      </c>
      <c r="N789" s="23">
        <f>FLOOR(VLOOKUP($D789,Sheet1!$G$5:$I$192,3,TRUE),1)</f>
        <v>11</v>
      </c>
      <c r="O789" s="42" t="str">
        <f>VLOOKUP($D789,Sheet1!$G$5:$I$192,2,TRUE)</f>
        <v>/|</v>
      </c>
      <c r="P789" s="23">
        <v>1</v>
      </c>
      <c r="Q789" s="43" t="str">
        <f>VLOOKUP($D789,Sheet1!$J$5:$L$192,2,TRUE)</f>
        <v>/|</v>
      </c>
      <c r="R789" s="23">
        <f>FLOOR(VLOOKUP($D789,Sheet1!$M$5:$O$192,3,TRUE),1)</f>
        <v>44</v>
      </c>
      <c r="S789" s="42" t="str">
        <f>VLOOKUP($D789,Sheet1!$M$5:$O$192,2,TRUE)</f>
        <v>/|</v>
      </c>
      <c r="T789" s="117">
        <f>IF(ABS(D789-VLOOKUP($D789,Sheet1!$M$5:$T$192,8,TRUE))&lt;10^-10,"SoCA",D789-VLOOKUP($D789,Sheet1!$M$5:$T$192,8,TRUE))</f>
        <v>-0.26223648232843644</v>
      </c>
      <c r="U789" s="109" t="str">
        <f>IF(VLOOKUP($D789,Sheet1!$M$5:$U$192,9,TRUE)=0,"",IF(ABS(D789-VLOOKUP($D789,Sheet1!$M$5:$U$192,9,TRUE))&lt;10^-10,"Alt.",D789-VLOOKUP($D789,Sheet1!$M$5:$U$192,9,TRUE)))</f>
        <v/>
      </c>
      <c r="V789" s="132">
        <f>$D789-Sheet1!$M$3*$R789</f>
        <v>-0.22436004672663756</v>
      </c>
      <c r="Z789" s="6"/>
      <c r="AA789" s="61"/>
    </row>
    <row r="790" spans="1:27" ht="13.5">
      <c r="A790" t="s">
        <v>673</v>
      </c>
      <c r="B790">
        <v>157696</v>
      </c>
      <c r="C790">
        <v>159651</v>
      </c>
      <c r="D790" s="13">
        <f t="shared" si="16"/>
        <v>21.330627879850994</v>
      </c>
      <c r="E790" s="61" t="s">
        <v>1931</v>
      </c>
      <c r="F790" s="65">
        <v>111.44732064276781</v>
      </c>
      <c r="G790" s="6">
        <v>539</v>
      </c>
      <c r="H790" s="6">
        <v>518</v>
      </c>
      <c r="I790" s="65">
        <v>5.6865955297292423</v>
      </c>
      <c r="J790" s="6">
        <f>VLOOKUP($D790,Sheet1!$A$5:$C$192,3,TRUE)</f>
        <v>4</v>
      </c>
      <c r="K790" s="42" t="str">
        <f>VLOOKUP($D790,Sheet1!$A$5:$C$192,2,TRUE)</f>
        <v>/|</v>
      </c>
      <c r="L790" s="6">
        <f>FLOOR(VLOOKUP($D790,Sheet1!$D$5:$F$192,3,TRUE),1)</f>
        <v>9</v>
      </c>
      <c r="M790" s="42" t="str">
        <f>VLOOKUP($D790,Sheet1!$D$5:$F$192,2,TRUE)</f>
        <v>/|</v>
      </c>
      <c r="N790" s="23">
        <f>FLOOR(VLOOKUP($D790,Sheet1!$G$5:$I$192,3,TRUE),1)</f>
        <v>11</v>
      </c>
      <c r="O790" s="42" t="str">
        <f>VLOOKUP($D790,Sheet1!$G$5:$I$192,2,TRUE)</f>
        <v>/|</v>
      </c>
      <c r="P790" s="23">
        <v>1</v>
      </c>
      <c r="Q790" s="43" t="str">
        <f>VLOOKUP($D790,Sheet1!$J$5:$L$192,2,TRUE)</f>
        <v>/|</v>
      </c>
      <c r="R790" s="23">
        <f>FLOOR(VLOOKUP($D790,Sheet1!$M$5:$O$192,3,TRUE),1)</f>
        <v>44</v>
      </c>
      <c r="S790" s="42" t="str">
        <f>VLOOKUP($D790,Sheet1!$M$5:$O$192,2,TRUE)</f>
        <v>/|</v>
      </c>
      <c r="T790" s="117">
        <f>IF(ABS(D790-VLOOKUP($D790,Sheet1!$M$5:$T$192,8,TRUE))&lt;10^-10,"SoCA",D790-VLOOKUP($D790,Sheet1!$M$5:$T$192,8,TRUE))</f>
        <v>-0.17566171686378595</v>
      </c>
      <c r="U790" s="109" t="str">
        <f>IF(VLOOKUP($D790,Sheet1!$M$5:$U$192,9,TRUE)=0,"",IF(ABS(D790-VLOOKUP($D790,Sheet1!$M$5:$U$192,9,TRUE))&lt;10^-10,"Alt.",D790-VLOOKUP($D790,Sheet1!$M$5:$U$192,9,TRUE)))</f>
        <v/>
      </c>
      <c r="V790" s="132">
        <f>$D790-Sheet1!$M$3*$R790</f>
        <v>-0.13778528126198708</v>
      </c>
      <c r="Z790" s="6"/>
      <c r="AA790" s="61"/>
    </row>
    <row r="791" spans="1:27" ht="13.5">
      <c r="A791" t="s">
        <v>989</v>
      </c>
      <c r="B791">
        <v>38666240</v>
      </c>
      <c r="C791">
        <v>39149487</v>
      </c>
      <c r="D791" s="13">
        <f t="shared" si="16"/>
        <v>21.502707689935086</v>
      </c>
      <c r="E791" s="61" t="s">
        <v>1931</v>
      </c>
      <c r="F791" s="65">
        <v>130.13297140906741</v>
      </c>
      <c r="G791" s="6">
        <v>496</v>
      </c>
      <c r="H791" s="6">
        <v>837</v>
      </c>
      <c r="I791" s="65">
        <v>9.6759999489014845</v>
      </c>
      <c r="J791" s="6">
        <f>VLOOKUP($D791,Sheet1!$A$5:$C$192,3,TRUE)</f>
        <v>4</v>
      </c>
      <c r="K791" s="42" t="str">
        <f>VLOOKUP($D791,Sheet1!$A$5:$C$192,2,TRUE)</f>
        <v>/|</v>
      </c>
      <c r="L791" s="6">
        <f>FLOOR(VLOOKUP($D791,Sheet1!$D$5:$F$192,3,TRUE),1)</f>
        <v>9</v>
      </c>
      <c r="M791" s="42" t="str">
        <f>VLOOKUP($D791,Sheet1!$D$5:$F$192,2,TRUE)</f>
        <v>/|</v>
      </c>
      <c r="N791" s="23">
        <f>FLOOR(VLOOKUP($D791,Sheet1!$G$5:$I$192,3,TRUE),1)</f>
        <v>11</v>
      </c>
      <c r="O791" s="42" t="str">
        <f>VLOOKUP($D791,Sheet1!$G$5:$I$192,2,TRUE)</f>
        <v>/|</v>
      </c>
      <c r="P791" s="23">
        <v>1</v>
      </c>
      <c r="Q791" s="43" t="str">
        <f>VLOOKUP($D791,Sheet1!$J$5:$L$192,2,TRUE)</f>
        <v>/|</v>
      </c>
      <c r="R791" s="23">
        <f>FLOOR(VLOOKUP($D791,Sheet1!$M$5:$O$192,3,TRUE),1)</f>
        <v>44</v>
      </c>
      <c r="S791" s="42" t="str">
        <f>VLOOKUP($D791,Sheet1!$M$5:$O$192,2,TRUE)</f>
        <v>/|</v>
      </c>
      <c r="T791" s="117">
        <f>IF(ABS(D791-VLOOKUP($D791,Sheet1!$M$5:$T$192,8,TRUE))&lt;10^-10,"SoCA",D791-VLOOKUP($D791,Sheet1!$M$5:$T$192,8,TRUE))</f>
        <v>-3.581906779693611E-3</v>
      </c>
      <c r="U791" s="109" t="str">
        <f>IF(VLOOKUP($D791,Sheet1!$M$5:$U$192,9,TRUE)=0,"",IF(ABS(D791-VLOOKUP($D791,Sheet1!$M$5:$U$192,9,TRUE))&lt;10^-10,"Alt.",D791-VLOOKUP($D791,Sheet1!$M$5:$U$192,9,TRUE)))</f>
        <v/>
      </c>
      <c r="V791" s="132">
        <f>$D791-Sheet1!$M$3*$R791</f>
        <v>3.4294528822105264E-2</v>
      </c>
      <c r="Z791" s="6"/>
      <c r="AA791" s="61"/>
    </row>
    <row r="792" spans="1:27" ht="13.5">
      <c r="A792" t="s">
        <v>1446</v>
      </c>
      <c r="B792">
        <v>1426653</v>
      </c>
      <c r="C792">
        <v>1444352</v>
      </c>
      <c r="D792" s="13">
        <f t="shared" si="16"/>
        <v>21.34548675819676</v>
      </c>
      <c r="E792" s="61" t="s">
        <v>1931</v>
      </c>
      <c r="F792" s="65">
        <v>210.78354199034294</v>
      </c>
      <c r="G792" s="6">
        <v>1361</v>
      </c>
      <c r="H792" s="6">
        <v>1295</v>
      </c>
      <c r="I792" s="65">
        <v>-7.3143193855443469</v>
      </c>
      <c r="J792" s="6">
        <f>VLOOKUP($D792,Sheet1!$A$5:$C$192,3,TRUE)</f>
        <v>4</v>
      </c>
      <c r="K792" s="42" t="str">
        <f>VLOOKUP($D792,Sheet1!$A$5:$C$192,2,TRUE)</f>
        <v>/|</v>
      </c>
      <c r="L792" s="6">
        <f>FLOOR(VLOOKUP($D792,Sheet1!$D$5:$F$192,3,TRUE),1)</f>
        <v>9</v>
      </c>
      <c r="M792" s="42" t="str">
        <f>VLOOKUP($D792,Sheet1!$D$5:$F$192,2,TRUE)</f>
        <v>/|</v>
      </c>
      <c r="N792" s="23">
        <f>FLOOR(VLOOKUP($D792,Sheet1!$G$5:$I$192,3,TRUE),1)</f>
        <v>11</v>
      </c>
      <c r="O792" s="42" t="str">
        <f>VLOOKUP($D792,Sheet1!$G$5:$I$192,2,TRUE)</f>
        <v>/|</v>
      </c>
      <c r="P792" s="23">
        <v>1</v>
      </c>
      <c r="Q792" s="43" t="str">
        <f>VLOOKUP($D792,Sheet1!$J$5:$L$192,2,TRUE)</f>
        <v>/|</v>
      </c>
      <c r="R792" s="23">
        <f>FLOOR(VLOOKUP($D792,Sheet1!$M$5:$O$192,3,TRUE),1)</f>
        <v>44</v>
      </c>
      <c r="S792" s="42" t="str">
        <f>VLOOKUP($D792,Sheet1!$M$5:$O$192,2,TRUE)</f>
        <v>/|</v>
      </c>
      <c r="T792" s="117">
        <f>IF(ABS(D792-VLOOKUP($D792,Sheet1!$M$5:$T$192,8,TRUE))&lt;10^-10,"SoCA",D792-VLOOKUP($D792,Sheet1!$M$5:$T$192,8,TRUE))</f>
        <v>-0.1608028385180198</v>
      </c>
      <c r="U792" s="109" t="str">
        <f>IF(VLOOKUP($D792,Sheet1!$M$5:$U$192,9,TRUE)=0,"",IF(ABS(D792-VLOOKUP($D792,Sheet1!$M$5:$U$192,9,TRUE))&lt;10^-10,"Alt.",D792-VLOOKUP($D792,Sheet1!$M$5:$U$192,9,TRUE)))</f>
        <v/>
      </c>
      <c r="V792" s="132">
        <f>$D792-Sheet1!$M$3*$R792</f>
        <v>-0.12292640291622092</v>
      </c>
      <c r="Z792" s="6"/>
      <c r="AA792" s="61"/>
    </row>
    <row r="793" spans="1:27" ht="13.5">
      <c r="A793" t="s">
        <v>1694</v>
      </c>
      <c r="B793">
        <v>109346816</v>
      </c>
      <c r="C793">
        <v>110716875</v>
      </c>
      <c r="D793" s="13">
        <f t="shared" si="16"/>
        <v>21.556699559817375</v>
      </c>
      <c r="E793" s="61" t="s">
        <v>1931</v>
      </c>
      <c r="F793" s="65">
        <v>232.29406419450891</v>
      </c>
      <c r="G793" s="6">
        <v>1592</v>
      </c>
      <c r="H793" s="6">
        <v>1543</v>
      </c>
      <c r="I793" s="65">
        <v>9.6726754727697415</v>
      </c>
      <c r="J793" s="6">
        <f>VLOOKUP($D793,Sheet1!$A$5:$C$192,3,TRUE)</f>
        <v>4</v>
      </c>
      <c r="K793" s="42" t="str">
        <f>VLOOKUP($D793,Sheet1!$A$5:$C$192,2,TRUE)</f>
        <v>/|</v>
      </c>
      <c r="L793" s="6">
        <f>FLOOR(VLOOKUP($D793,Sheet1!$D$5:$F$192,3,TRUE),1)</f>
        <v>9</v>
      </c>
      <c r="M793" s="42" t="str">
        <f>VLOOKUP($D793,Sheet1!$D$5:$F$192,2,TRUE)</f>
        <v>/|</v>
      </c>
      <c r="N793" s="23">
        <f>FLOOR(VLOOKUP($D793,Sheet1!$G$5:$I$192,3,TRUE),1)</f>
        <v>11</v>
      </c>
      <c r="O793" s="42" t="str">
        <f>VLOOKUP($D793,Sheet1!$G$5:$I$192,2,TRUE)</f>
        <v>/|</v>
      </c>
      <c r="P793" s="23">
        <v>1</v>
      </c>
      <c r="Q793" s="43" t="str">
        <f>VLOOKUP($D793,Sheet1!$J$5:$L$192,2,TRUE)</f>
        <v>/|</v>
      </c>
      <c r="R793" s="23">
        <f>FLOOR(VLOOKUP($D793,Sheet1!$M$5:$O$192,3,TRUE),1)</f>
        <v>44</v>
      </c>
      <c r="S793" s="42" t="str">
        <f>VLOOKUP($D793,Sheet1!$M$5:$O$192,2,TRUE)</f>
        <v>/|</v>
      </c>
      <c r="T793" s="117">
        <f>IF(ABS(D793-VLOOKUP($D793,Sheet1!$M$5:$T$192,8,TRUE))&lt;10^-10,"SoCA",D793-VLOOKUP($D793,Sheet1!$M$5:$T$192,8,TRUE))</f>
        <v>5.0409963102595157E-2</v>
      </c>
      <c r="U793" s="109" t="str">
        <f>IF(VLOOKUP($D793,Sheet1!$M$5:$U$192,9,TRUE)=0,"",IF(ABS(D793-VLOOKUP($D793,Sheet1!$M$5:$U$192,9,TRUE))&lt;10^-10,"Alt.",D793-VLOOKUP($D793,Sheet1!$M$5:$U$192,9,TRUE)))</f>
        <v/>
      </c>
      <c r="V793" s="132">
        <f>$D793-Sheet1!$M$3*$R793</f>
        <v>8.8286398704394031E-2</v>
      </c>
      <c r="Z793" s="6"/>
      <c r="AA793" s="61"/>
    </row>
    <row r="794" spans="1:27" ht="13.5">
      <c r="A794" t="s">
        <v>1193</v>
      </c>
      <c r="B794">
        <v>5120000</v>
      </c>
      <c r="C794">
        <v>5183919</v>
      </c>
      <c r="D794" s="13">
        <f t="shared" si="16"/>
        <v>21.479238853363583</v>
      </c>
      <c r="E794" s="61" t="s">
        <v>1931</v>
      </c>
      <c r="F794" s="65">
        <v>813.57542547587366</v>
      </c>
      <c r="G794" s="6">
        <v>1098</v>
      </c>
      <c r="H794" s="6">
        <v>1042</v>
      </c>
      <c r="I794" s="65">
        <v>4.6774450106708194</v>
      </c>
      <c r="J794" s="6">
        <f>VLOOKUP($D794,Sheet1!$A$5:$C$192,3,TRUE)</f>
        <v>4</v>
      </c>
      <c r="K794" s="42" t="str">
        <f>VLOOKUP($D794,Sheet1!$A$5:$C$192,2,TRUE)</f>
        <v>/|</v>
      </c>
      <c r="L794" s="6">
        <f>FLOOR(VLOOKUP($D794,Sheet1!$D$5:$F$192,3,TRUE),1)</f>
        <v>9</v>
      </c>
      <c r="M794" s="42" t="str">
        <f>VLOOKUP($D794,Sheet1!$D$5:$F$192,2,TRUE)</f>
        <v>/|</v>
      </c>
      <c r="N794" s="23">
        <f>FLOOR(VLOOKUP($D794,Sheet1!$G$5:$I$192,3,TRUE),1)</f>
        <v>11</v>
      </c>
      <c r="O794" s="42" t="str">
        <f>VLOOKUP($D794,Sheet1!$G$5:$I$192,2,TRUE)</f>
        <v>/|</v>
      </c>
      <c r="P794" s="23">
        <v>1</v>
      </c>
      <c r="Q794" s="43" t="str">
        <f>VLOOKUP($D794,Sheet1!$J$5:$L$192,2,TRUE)</f>
        <v>/|</v>
      </c>
      <c r="R794" s="23">
        <f>FLOOR(VLOOKUP($D794,Sheet1!$M$5:$O$192,3,TRUE),1)</f>
        <v>44</v>
      </c>
      <c r="S794" s="42" t="str">
        <f>VLOOKUP($D794,Sheet1!$M$5:$O$192,2,TRUE)</f>
        <v>/|</v>
      </c>
      <c r="T794" s="117">
        <f>IF(ABS(D794-VLOOKUP($D794,Sheet1!$M$5:$T$192,8,TRUE))&lt;10^-10,"SoCA",D794-VLOOKUP($D794,Sheet1!$M$5:$T$192,8,TRUE))</f>
        <v>-2.7050743351196616E-2</v>
      </c>
      <c r="U794" s="109" t="str">
        <f>IF(VLOOKUP($D794,Sheet1!$M$5:$U$192,9,TRUE)=0,"",IF(ABS(D794-VLOOKUP($D794,Sheet1!$M$5:$U$192,9,TRUE))&lt;10^-10,"Alt.",D794-VLOOKUP($D794,Sheet1!$M$5:$U$192,9,TRUE)))</f>
        <v/>
      </c>
      <c r="V794" s="132">
        <f>$D794-Sheet1!$M$3*$R794</f>
        <v>1.0825692250602259E-2</v>
      </c>
      <c r="Z794" s="6"/>
      <c r="AA794" s="61"/>
    </row>
    <row r="795" spans="1:27" ht="13.5">
      <c r="A795" t="s">
        <v>539</v>
      </c>
      <c r="B795">
        <v>11162</v>
      </c>
      <c r="C795">
        <v>11301</v>
      </c>
      <c r="D795" s="13">
        <f t="shared" si="16"/>
        <v>21.425865141843257</v>
      </c>
      <c r="E795" s="61" t="s">
        <v>1931</v>
      </c>
      <c r="F795" s="65">
        <v>9348.0820192177762</v>
      </c>
      <c r="G795" s="6">
        <v>429</v>
      </c>
      <c r="H795" s="6">
        <v>382</v>
      </c>
      <c r="I795" s="65">
        <v>-0.31926857545985676</v>
      </c>
      <c r="J795" s="6">
        <f>VLOOKUP($D795,Sheet1!$A$5:$C$192,3,TRUE)</f>
        <v>4</v>
      </c>
      <c r="K795" s="42" t="str">
        <f>VLOOKUP($D795,Sheet1!$A$5:$C$192,2,TRUE)</f>
        <v>/|</v>
      </c>
      <c r="L795" s="6">
        <f>FLOOR(VLOOKUP($D795,Sheet1!$D$5:$F$192,3,TRUE),1)</f>
        <v>9</v>
      </c>
      <c r="M795" s="42" t="str">
        <f>VLOOKUP($D795,Sheet1!$D$5:$F$192,2,TRUE)</f>
        <v>/|</v>
      </c>
      <c r="N795" s="23">
        <f>FLOOR(VLOOKUP($D795,Sheet1!$G$5:$I$192,3,TRUE),1)</f>
        <v>11</v>
      </c>
      <c r="O795" s="42" t="str">
        <f>VLOOKUP($D795,Sheet1!$G$5:$I$192,2,TRUE)</f>
        <v>/|</v>
      </c>
      <c r="P795" s="23">
        <v>1</v>
      </c>
      <c r="Q795" s="43" t="str">
        <f>VLOOKUP($D795,Sheet1!$J$5:$L$192,2,TRUE)</f>
        <v>/|</v>
      </c>
      <c r="R795" s="23">
        <f>FLOOR(VLOOKUP($D795,Sheet1!$M$5:$O$192,3,TRUE),1)</f>
        <v>44</v>
      </c>
      <c r="S795" s="42" t="str">
        <f>VLOOKUP($D795,Sheet1!$M$5:$O$192,2,TRUE)</f>
        <v>/|</v>
      </c>
      <c r="T795" s="117">
        <f>IF(ABS(D795-VLOOKUP($D795,Sheet1!$M$5:$T$192,8,TRUE))&lt;10^-10,"SoCA",D795-VLOOKUP($D795,Sheet1!$M$5:$T$192,8,TRUE))</f>
        <v>-8.0424454871522499E-2</v>
      </c>
      <c r="U795" s="109" t="str">
        <f>IF(VLOOKUP($D795,Sheet1!$M$5:$U$192,9,TRUE)=0,"",IF(ABS(D795-VLOOKUP($D795,Sheet1!$M$5:$U$192,9,TRUE))&lt;10^-10,"Alt.",D795-VLOOKUP($D795,Sheet1!$M$5:$U$192,9,TRUE)))</f>
        <v/>
      </c>
      <c r="V795" s="132">
        <f>$D795-Sheet1!$M$3*$R795</f>
        <v>-4.2548019269723625E-2</v>
      </c>
      <c r="Z795" s="6"/>
      <c r="AA795" s="61"/>
    </row>
    <row r="796" spans="1:27" ht="13.5">
      <c r="A796" t="s">
        <v>1695</v>
      </c>
      <c r="B796">
        <v>274461491200</v>
      </c>
      <c r="C796">
        <v>277889258871</v>
      </c>
      <c r="D796" s="13">
        <f t="shared" si="16"/>
        <v>21.487593833944118</v>
      </c>
      <c r="E796" s="61" t="s">
        <v>1931</v>
      </c>
      <c r="F796" s="65">
        <v>10831.2439087363</v>
      </c>
      <c r="G796" s="6">
        <v>1593</v>
      </c>
      <c r="H796" s="6">
        <v>1544</v>
      </c>
      <c r="I796" s="65">
        <v>9.6769305640776242</v>
      </c>
      <c r="J796" s="6">
        <f>VLOOKUP($D796,Sheet1!$A$5:$C$192,3,TRUE)</f>
        <v>4</v>
      </c>
      <c r="K796" s="42" t="str">
        <f>VLOOKUP($D796,Sheet1!$A$5:$C$192,2,TRUE)</f>
        <v>/|</v>
      </c>
      <c r="L796" s="6">
        <f>FLOOR(VLOOKUP($D796,Sheet1!$D$5:$F$192,3,TRUE),1)</f>
        <v>9</v>
      </c>
      <c r="M796" s="42" t="str">
        <f>VLOOKUP($D796,Sheet1!$D$5:$F$192,2,TRUE)</f>
        <v>/|</v>
      </c>
      <c r="N796" s="23">
        <f>FLOOR(VLOOKUP($D796,Sheet1!$G$5:$I$192,3,TRUE),1)</f>
        <v>11</v>
      </c>
      <c r="O796" s="42" t="str">
        <f>VLOOKUP($D796,Sheet1!$G$5:$I$192,2,TRUE)</f>
        <v>/|</v>
      </c>
      <c r="P796" s="23">
        <v>1</v>
      </c>
      <c r="Q796" s="43" t="str">
        <f>VLOOKUP($D796,Sheet1!$J$5:$L$192,2,TRUE)</f>
        <v>/|</v>
      </c>
      <c r="R796" s="23">
        <f>FLOOR(VLOOKUP($D796,Sheet1!$M$5:$O$192,3,TRUE),1)</f>
        <v>44</v>
      </c>
      <c r="S796" s="42" t="str">
        <f>VLOOKUP($D796,Sheet1!$M$5:$O$192,2,TRUE)</f>
        <v>/|</v>
      </c>
      <c r="T796" s="117">
        <f>IF(ABS(D796-VLOOKUP($D796,Sheet1!$M$5:$T$192,8,TRUE))&lt;10^-10,"SoCA",D796-VLOOKUP($D796,Sheet1!$M$5:$T$192,8,TRUE))</f>
        <v>-1.8695762770661872E-2</v>
      </c>
      <c r="U796" s="109" t="str">
        <f>IF(VLOOKUP($D796,Sheet1!$M$5:$U$192,9,TRUE)=0,"",IF(ABS(D796-VLOOKUP($D796,Sheet1!$M$5:$U$192,9,TRUE))&lt;10^-10,"Alt.",D796-VLOOKUP($D796,Sheet1!$M$5:$U$192,9,TRUE)))</f>
        <v/>
      </c>
      <c r="V796" s="132">
        <f>$D796-Sheet1!$M$3*$R796</f>
        <v>1.9180672831137002E-2</v>
      </c>
      <c r="Z796" s="6"/>
      <c r="AA796" s="61"/>
    </row>
    <row r="797" spans="1:27" ht="13.5">
      <c r="A797" t="s">
        <v>1487</v>
      </c>
      <c r="B797">
        <v>136761966592</v>
      </c>
      <c r="C797">
        <v>138451855689</v>
      </c>
      <c r="D797" s="13">
        <f t="shared" si="16"/>
        <v>21.260780351384497</v>
      </c>
      <c r="E797" s="61" t="s">
        <v>1931</v>
      </c>
      <c r="F797" s="65">
        <v>1495182.7536257578</v>
      </c>
      <c r="G797" s="6">
        <v>1397</v>
      </c>
      <c r="H797" s="6">
        <v>1336</v>
      </c>
      <c r="I797" s="65">
        <v>7.6908962965253256</v>
      </c>
      <c r="J797" s="6">
        <f>VLOOKUP($D797,Sheet1!$A$5:$C$192,3,TRUE)</f>
        <v>4</v>
      </c>
      <c r="K797" s="42" t="str">
        <f>VLOOKUP($D797,Sheet1!$A$5:$C$192,2,TRUE)</f>
        <v>/|</v>
      </c>
      <c r="L797" s="6">
        <f>FLOOR(VLOOKUP($D797,Sheet1!$D$5:$F$192,3,TRUE),1)</f>
        <v>9</v>
      </c>
      <c r="M797" s="42" t="str">
        <f>VLOOKUP($D797,Sheet1!$D$5:$F$192,2,TRUE)</f>
        <v>/|</v>
      </c>
      <c r="N797" s="23">
        <f>FLOOR(VLOOKUP($D797,Sheet1!$G$5:$I$192,3,TRUE),1)</f>
        <v>11</v>
      </c>
      <c r="O797" s="42" t="str">
        <f>VLOOKUP($D797,Sheet1!$G$5:$I$192,2,TRUE)</f>
        <v>/|</v>
      </c>
      <c r="P797" s="23">
        <v>1</v>
      </c>
      <c r="Q797" s="43" t="str">
        <f>VLOOKUP($D797,Sheet1!$J$5:$L$192,2,TRUE)</f>
        <v>/|</v>
      </c>
      <c r="R797" s="23">
        <f>FLOOR(VLOOKUP($D797,Sheet1!$M$5:$O$192,3,TRUE),1)</f>
        <v>44</v>
      </c>
      <c r="S797" s="42" t="str">
        <f>VLOOKUP($D797,Sheet1!$M$5:$O$192,2,TRUE)</f>
        <v>/|</v>
      </c>
      <c r="T797" s="117">
        <f>IF(ABS(D797-VLOOKUP($D797,Sheet1!$M$5:$T$192,8,TRUE))&lt;10^-10,"SoCA",D797-VLOOKUP($D797,Sheet1!$M$5:$T$192,8,TRUE))</f>
        <v>-0.24550924533028251</v>
      </c>
      <c r="U797" s="109" t="str">
        <f>IF(VLOOKUP($D797,Sheet1!$M$5:$U$192,9,TRUE)=0,"",IF(ABS(D797-VLOOKUP($D797,Sheet1!$M$5:$U$192,9,TRUE))&lt;10^-10,"Alt.",D797-VLOOKUP($D797,Sheet1!$M$5:$U$192,9,TRUE)))</f>
        <v/>
      </c>
      <c r="V797" s="132">
        <f>$D797-Sheet1!$M$3*$R797</f>
        <v>-0.20763280972848364</v>
      </c>
      <c r="Z797" s="6"/>
      <c r="AA797" s="61"/>
    </row>
    <row r="798" spans="1:27" ht="13.5">
      <c r="A798" s="38" t="s">
        <v>293</v>
      </c>
      <c r="B798" s="38">
        <f>2^5*3^3</f>
        <v>864</v>
      </c>
      <c r="C798" s="38">
        <f>5^3*7</f>
        <v>875</v>
      </c>
      <c r="D798" s="13">
        <f t="shared" si="16"/>
        <v>21.902045467466987</v>
      </c>
      <c r="E798" s="61">
        <v>7</v>
      </c>
      <c r="F798" s="65">
        <v>39.849064608393341</v>
      </c>
      <c r="G798" s="6">
        <v>133</v>
      </c>
      <c r="H798" s="6">
        <v>119</v>
      </c>
      <c r="I798" s="65">
        <v>-4.3485887329278867</v>
      </c>
      <c r="J798" s="6">
        <f>VLOOKUP($D798,Sheet1!$A$5:$C$192,3,TRUE)</f>
        <v>4</v>
      </c>
      <c r="K798" s="42" t="str">
        <f>VLOOKUP($D798,Sheet1!$A$5:$C$192,2,TRUE)</f>
        <v>/|</v>
      </c>
      <c r="L798" s="6">
        <f>FLOOR(VLOOKUP($D798,Sheet1!$D$5:$F$192,3,TRUE),1)</f>
        <v>9</v>
      </c>
      <c r="M798" s="42" t="str">
        <f>VLOOKUP($D798,Sheet1!$D$5:$F$192,2,TRUE)</f>
        <v>/|</v>
      </c>
      <c r="N798" s="23">
        <f>FLOOR(VLOOKUP($D798,Sheet1!$G$5:$I$192,3,TRUE),1)</f>
        <v>11</v>
      </c>
      <c r="O798" s="42" t="str">
        <f>VLOOKUP($D798,Sheet1!$G$5:$I$192,2,TRUE)</f>
        <v>/|</v>
      </c>
      <c r="P798" s="23">
        <v>1</v>
      </c>
      <c r="Q798" s="45" t="str">
        <f>VLOOKUP($D798,Sheet1!$J$5:$L$192,2,TRUE)</f>
        <v>/|'</v>
      </c>
      <c r="R798" s="38">
        <f>FLOOR(VLOOKUP($D798,Sheet1!$M$5:$O$192,3,TRUE),1)</f>
        <v>45</v>
      </c>
      <c r="S798" s="45" t="str">
        <f>VLOOKUP($D798,Sheet1!$M$5:$O$192,2,TRUE)</f>
        <v>/|'</v>
      </c>
      <c r="T798" s="108">
        <f>IF(ABS(D798-VLOOKUP($D798,Sheet1!$M$5:$T$192,8,TRUE))&lt;10^-10,"SoCA",D798-VLOOKUP($D798,Sheet1!$M$5:$T$192,8,TRUE))</f>
        <v>-2.6960295202616891E-2</v>
      </c>
      <c r="U798" s="112" t="str">
        <f>IF(VLOOKUP($D798,Sheet1!$M$5:$U$192,9,TRUE)=0,"",IF(ABS(D798-VLOOKUP($D798,Sheet1!$M$5:$U$192,9,TRUE))&lt;10^-10,"Alt.",D798-VLOOKUP($D798,Sheet1!$M$5:$U$192,9,TRUE)))</f>
        <v>Alt.</v>
      </c>
      <c r="V798" s="133">
        <f>$D798-Sheet1!$M$3*$R798</f>
        <v>-5.4286174580379765E-2</v>
      </c>
      <c r="Z798" s="6"/>
      <c r="AA798" s="61"/>
    </row>
    <row r="799" spans="1:27" ht="13.5">
      <c r="A799" s="23" t="s">
        <v>1142</v>
      </c>
      <c r="B799" s="23">
        <f>3^6*7</f>
        <v>5103</v>
      </c>
      <c r="C799" s="23">
        <f>2^4*17*19</f>
        <v>5168</v>
      </c>
      <c r="D799" s="13">
        <f t="shared" si="16"/>
        <v>21.91251397126052</v>
      </c>
      <c r="E799" s="61">
        <v>19</v>
      </c>
      <c r="F799" s="65">
        <v>53.98739602860018</v>
      </c>
      <c r="G799" s="6">
        <v>910</v>
      </c>
      <c r="H799" s="6">
        <v>991</v>
      </c>
      <c r="I799" s="65">
        <v>-7.3492333168452912</v>
      </c>
      <c r="J799" s="6">
        <f>VLOOKUP($D799,Sheet1!$A$5:$C$192,3,TRUE)</f>
        <v>4</v>
      </c>
      <c r="K799" s="42" t="str">
        <f>VLOOKUP($D799,Sheet1!$A$5:$C$192,2,TRUE)</f>
        <v>/|</v>
      </c>
      <c r="L799" s="6">
        <f>FLOOR(VLOOKUP($D799,Sheet1!$D$5:$F$192,3,TRUE),1)</f>
        <v>9</v>
      </c>
      <c r="M799" s="42" t="str">
        <f>VLOOKUP($D799,Sheet1!$D$5:$F$192,2,TRUE)</f>
        <v>/|</v>
      </c>
      <c r="N799" s="23">
        <f>FLOOR(VLOOKUP($D799,Sheet1!$G$5:$I$192,3,TRUE),1)</f>
        <v>11</v>
      </c>
      <c r="O799" s="42" t="str">
        <f>VLOOKUP($D799,Sheet1!$G$5:$I$192,2,TRUE)</f>
        <v>/|</v>
      </c>
      <c r="P799" s="23">
        <v>1</v>
      </c>
      <c r="Q799" s="43" t="str">
        <f>VLOOKUP($D799,Sheet1!$J$5:$L$192,2,TRUE)</f>
        <v>/|'</v>
      </c>
      <c r="R799" s="23">
        <f>FLOOR(VLOOKUP($D799,Sheet1!$M$5:$O$192,3,TRUE),1)</f>
        <v>45</v>
      </c>
      <c r="S799" s="43" t="str">
        <f>VLOOKUP($D799,Sheet1!$M$5:$O$192,2,TRUE)</f>
        <v>/|'</v>
      </c>
      <c r="T799" s="117">
        <f>IF(ABS(D799-VLOOKUP($D799,Sheet1!$M$5:$T$192,8,TRUE))&lt;10^-10,"SoCA",D799-VLOOKUP($D799,Sheet1!$M$5:$T$192,8,TRUE))</f>
        <v>-1.64917914090843E-2</v>
      </c>
      <c r="U799" s="117">
        <f>IF(VLOOKUP($D799,Sheet1!$M$5:$U$192,9,TRUE)=0,"",IF(ABS(D799-VLOOKUP($D799,Sheet1!$M$5:$U$192,9,TRUE))&lt;10^-10,"Alt.",D799-VLOOKUP($D799,Sheet1!$M$5:$U$192,9,TRUE)))</f>
        <v>1.0468503793351402E-2</v>
      </c>
      <c r="V799" s="132">
        <f>$D799-Sheet1!$M$3*$R799</f>
        <v>-4.3817670786847174E-2</v>
      </c>
      <c r="Z799" s="6"/>
      <c r="AA799" s="61"/>
    </row>
    <row r="800" spans="1:27" ht="13.5">
      <c r="A800" t="s">
        <v>571</v>
      </c>
      <c r="B800">
        <v>118784</v>
      </c>
      <c r="C800">
        <v>120285</v>
      </c>
      <c r="D800" s="13">
        <f t="shared" si="16"/>
        <v>21.739468134216786</v>
      </c>
      <c r="E800" s="61">
        <v>29</v>
      </c>
      <c r="F800" s="65">
        <v>55.899477956377062</v>
      </c>
      <c r="G800" s="6">
        <v>421</v>
      </c>
      <c r="H800" s="6">
        <v>416</v>
      </c>
      <c r="I800" s="65">
        <v>5.6614217457818006</v>
      </c>
      <c r="J800" s="6">
        <f>VLOOKUP($D800,Sheet1!$A$5:$C$192,3,TRUE)</f>
        <v>4</v>
      </c>
      <c r="K800" s="42" t="str">
        <f>VLOOKUP($D800,Sheet1!$A$5:$C$192,2,TRUE)</f>
        <v>/|</v>
      </c>
      <c r="L800" s="6">
        <f>FLOOR(VLOOKUP($D800,Sheet1!$D$5:$F$192,3,TRUE),1)</f>
        <v>9</v>
      </c>
      <c r="M800" s="42" t="str">
        <f>VLOOKUP($D800,Sheet1!$D$5:$F$192,2,TRUE)</f>
        <v>/|</v>
      </c>
      <c r="N800" s="23">
        <f>FLOOR(VLOOKUP($D800,Sheet1!$G$5:$I$192,3,TRUE),1)</f>
        <v>11</v>
      </c>
      <c r="O800" s="42" t="str">
        <f>VLOOKUP($D800,Sheet1!$G$5:$I$192,2,TRUE)</f>
        <v>/|</v>
      </c>
      <c r="P800" s="23">
        <v>1</v>
      </c>
      <c r="Q800" s="43" t="str">
        <f>VLOOKUP($D800,Sheet1!$J$5:$L$192,2,TRUE)</f>
        <v>/|'</v>
      </c>
      <c r="R800" s="23">
        <f>FLOOR(VLOOKUP($D800,Sheet1!$M$5:$O$192,3,TRUE),1)</f>
        <v>45</v>
      </c>
      <c r="S800" s="42" t="str">
        <f>VLOOKUP($D800,Sheet1!$M$5:$O$192,2,TRUE)</f>
        <v>/|'</v>
      </c>
      <c r="T800" s="117">
        <f>IF(ABS(D800-VLOOKUP($D800,Sheet1!$M$5:$T$192,8,TRUE))&lt;10^-10,"SoCA",D800-VLOOKUP($D800,Sheet1!$M$5:$T$192,8,TRUE))</f>
        <v>-0.1895376284528183</v>
      </c>
      <c r="U800" s="109">
        <f>IF(VLOOKUP($D800,Sheet1!$M$5:$U$192,9,TRUE)=0,"",IF(ABS(D800-VLOOKUP($D800,Sheet1!$M$5:$U$192,9,TRUE))&lt;10^-10,"Alt.",D800-VLOOKUP($D800,Sheet1!$M$5:$U$192,9,TRUE)))</f>
        <v>-0.16257733325038259</v>
      </c>
      <c r="V800" s="132">
        <f>$D800-Sheet1!$M$3*$R800</f>
        <v>-0.21686350783058117</v>
      </c>
      <c r="Z800" s="6"/>
      <c r="AA800" s="61"/>
    </row>
    <row r="801" spans="1:27" ht="13.5">
      <c r="A801" t="s">
        <v>1580</v>
      </c>
      <c r="B801">
        <v>991232</v>
      </c>
      <c r="C801">
        <v>1003833</v>
      </c>
      <c r="D801" s="13">
        <f t="shared" si="16"/>
        <v>21.869533424768044</v>
      </c>
      <c r="E801" s="61">
        <v>17</v>
      </c>
      <c r="F801" s="65">
        <v>61.433793968762352</v>
      </c>
      <c r="G801" s="6">
        <v>1488</v>
      </c>
      <c r="H801" s="6">
        <v>1429</v>
      </c>
      <c r="I801" s="65">
        <v>8.6534131519889073</v>
      </c>
      <c r="J801" s="6">
        <f>VLOOKUP($D801,Sheet1!$A$5:$C$192,3,TRUE)</f>
        <v>4</v>
      </c>
      <c r="K801" s="42" t="str">
        <f>VLOOKUP($D801,Sheet1!$A$5:$C$192,2,TRUE)</f>
        <v>/|</v>
      </c>
      <c r="L801" s="6">
        <f>FLOOR(VLOOKUP($D801,Sheet1!$D$5:$F$192,3,TRUE),1)</f>
        <v>9</v>
      </c>
      <c r="M801" s="42" t="str">
        <f>VLOOKUP($D801,Sheet1!$D$5:$F$192,2,TRUE)</f>
        <v>/|</v>
      </c>
      <c r="N801" s="23">
        <f>FLOOR(VLOOKUP($D801,Sheet1!$G$5:$I$192,3,TRUE),1)</f>
        <v>11</v>
      </c>
      <c r="O801" s="42" t="str">
        <f>VLOOKUP($D801,Sheet1!$G$5:$I$192,2,TRUE)</f>
        <v>/|</v>
      </c>
      <c r="P801" s="23">
        <v>1</v>
      </c>
      <c r="Q801" s="43" t="str">
        <f>VLOOKUP($D801,Sheet1!$J$5:$L$192,2,TRUE)</f>
        <v>/|'</v>
      </c>
      <c r="R801" s="23">
        <f>FLOOR(VLOOKUP($D801,Sheet1!$M$5:$O$192,3,TRUE),1)</f>
        <v>45</v>
      </c>
      <c r="S801" s="42" t="str">
        <f>VLOOKUP($D801,Sheet1!$M$5:$O$192,2,TRUE)</f>
        <v>/|'</v>
      </c>
      <c r="T801" s="117">
        <f>IF(ABS(D801-VLOOKUP($D801,Sheet1!$M$5:$T$192,8,TRUE))&lt;10^-10,"SoCA",D801-VLOOKUP($D801,Sheet1!$M$5:$T$192,8,TRUE))</f>
        <v>-5.9472337901560479E-2</v>
      </c>
      <c r="U801" s="109">
        <f>IF(VLOOKUP($D801,Sheet1!$M$5:$U$192,9,TRUE)=0,"",IF(ABS(D801-VLOOKUP($D801,Sheet1!$M$5:$U$192,9,TRUE))&lt;10^-10,"Alt.",D801-VLOOKUP($D801,Sheet1!$M$5:$U$192,9,TRUE)))</f>
        <v>-3.2512042699124777E-2</v>
      </c>
      <c r="V801" s="132">
        <f>$D801-Sheet1!$M$3*$R801</f>
        <v>-8.6798217279323353E-2</v>
      </c>
      <c r="Z801" s="6"/>
      <c r="AA801" s="61"/>
    </row>
    <row r="802" spans="1:27" ht="13.5">
      <c r="A802" t="s">
        <v>1533</v>
      </c>
      <c r="B802">
        <v>938223</v>
      </c>
      <c r="C802">
        <v>950272</v>
      </c>
      <c r="D802" s="13">
        <f t="shared" si="16"/>
        <v>22.09158309591972</v>
      </c>
      <c r="E802" s="61">
        <v>29</v>
      </c>
      <c r="F802" s="65">
        <v>73.708382898021526</v>
      </c>
      <c r="G802" s="6">
        <v>1309</v>
      </c>
      <c r="H802" s="6">
        <v>1382</v>
      </c>
      <c r="I802" s="65">
        <v>-9.3602592552348973</v>
      </c>
      <c r="J802" s="6">
        <f>VLOOKUP($D802,Sheet1!$A$5:$C$192,3,TRUE)</f>
        <v>4</v>
      </c>
      <c r="K802" s="42" t="str">
        <f>VLOOKUP($D802,Sheet1!$A$5:$C$192,2,TRUE)</f>
        <v>/|</v>
      </c>
      <c r="L802" s="6">
        <f>FLOOR(VLOOKUP($D802,Sheet1!$D$5:$F$192,3,TRUE),1)</f>
        <v>9</v>
      </c>
      <c r="M802" s="42" t="str">
        <f>VLOOKUP($D802,Sheet1!$D$5:$F$192,2,TRUE)</f>
        <v>/|</v>
      </c>
      <c r="N802" s="23">
        <f>FLOOR(VLOOKUP($D802,Sheet1!$G$5:$I$192,3,TRUE),1)</f>
        <v>11</v>
      </c>
      <c r="O802" s="42" t="str">
        <f>VLOOKUP($D802,Sheet1!$G$5:$I$192,2,TRUE)</f>
        <v>/|</v>
      </c>
      <c r="P802" s="23">
        <v>1</v>
      </c>
      <c r="Q802" s="43" t="str">
        <f>VLOOKUP($D802,Sheet1!$J$5:$L$192,2,TRUE)</f>
        <v>/|'</v>
      </c>
      <c r="R802" s="23">
        <f>FLOOR(VLOOKUP($D802,Sheet1!$M$5:$O$192,3,TRUE),1)</f>
        <v>45</v>
      </c>
      <c r="S802" s="42" t="str">
        <f>VLOOKUP($D802,Sheet1!$M$5:$O$192,2,TRUE)</f>
        <v>/|'</v>
      </c>
      <c r="T802" s="117">
        <f>IF(ABS(D802-VLOOKUP($D802,Sheet1!$M$5:$T$192,8,TRUE))&lt;10^-10,"SoCA",D802-VLOOKUP($D802,Sheet1!$M$5:$T$192,8,TRUE))</f>
        <v>0.16257733325011614</v>
      </c>
      <c r="U802" s="109">
        <f>IF(VLOOKUP($D802,Sheet1!$M$5:$U$192,9,TRUE)=0,"",IF(ABS(D802-VLOOKUP($D802,Sheet1!$M$5:$U$192,9,TRUE))&lt;10^-10,"Alt.",D802-VLOOKUP($D802,Sheet1!$M$5:$U$192,9,TRUE)))</f>
        <v>0.18953762845255184</v>
      </c>
      <c r="V802" s="132">
        <f>$D802-Sheet1!$M$3*$R802</f>
        <v>0.13525145387235327</v>
      </c>
      <c r="Z802" s="6"/>
      <c r="AA802" s="61"/>
    </row>
    <row r="803" spans="1:27" ht="13.5">
      <c r="A803" t="s">
        <v>692</v>
      </c>
      <c r="B803">
        <v>8398</v>
      </c>
      <c r="C803">
        <v>8505</v>
      </c>
      <c r="D803" s="13">
        <f t="shared" si="16"/>
        <v>21.918537258876203</v>
      </c>
      <c r="E803" s="61">
        <v>19</v>
      </c>
      <c r="F803" s="65">
        <v>73.709903495365765</v>
      </c>
      <c r="G803" s="6">
        <v>578</v>
      </c>
      <c r="H803" s="6">
        <v>537</v>
      </c>
      <c r="I803" s="65">
        <v>3.6503958073921803</v>
      </c>
      <c r="J803" s="6">
        <f>VLOOKUP($D803,Sheet1!$A$5:$C$192,3,TRUE)</f>
        <v>4</v>
      </c>
      <c r="K803" s="42" t="str">
        <f>VLOOKUP($D803,Sheet1!$A$5:$C$192,2,TRUE)</f>
        <v>/|</v>
      </c>
      <c r="L803" s="6">
        <f>FLOOR(VLOOKUP($D803,Sheet1!$D$5:$F$192,3,TRUE),1)</f>
        <v>9</v>
      </c>
      <c r="M803" s="42" t="str">
        <f>VLOOKUP($D803,Sheet1!$D$5:$F$192,2,TRUE)</f>
        <v>/|</v>
      </c>
      <c r="N803" s="23">
        <f>FLOOR(VLOOKUP($D803,Sheet1!$G$5:$I$192,3,TRUE),1)</f>
        <v>11</v>
      </c>
      <c r="O803" s="42" t="str">
        <f>VLOOKUP($D803,Sheet1!$G$5:$I$192,2,TRUE)</f>
        <v>/|</v>
      </c>
      <c r="P803" s="23">
        <v>1</v>
      </c>
      <c r="Q803" s="43" t="str">
        <f>VLOOKUP($D803,Sheet1!$J$5:$L$192,2,TRUE)</f>
        <v>/|'</v>
      </c>
      <c r="R803" s="23">
        <f>FLOOR(VLOOKUP($D803,Sheet1!$M$5:$O$192,3,TRUE),1)</f>
        <v>45</v>
      </c>
      <c r="S803" s="42" t="str">
        <f>VLOOKUP($D803,Sheet1!$M$5:$O$192,2,TRUE)</f>
        <v>/|'</v>
      </c>
      <c r="T803" s="117">
        <f>IF(ABS(D803-VLOOKUP($D803,Sheet1!$M$5:$T$192,8,TRUE))&lt;10^-10,"SoCA",D803-VLOOKUP($D803,Sheet1!$M$5:$T$192,8,TRUE))</f>
        <v>-1.046850379340114E-2</v>
      </c>
      <c r="U803" s="109">
        <f>IF(VLOOKUP($D803,Sheet1!$M$5:$U$192,9,TRUE)=0,"",IF(ABS(D803-VLOOKUP($D803,Sheet1!$M$5:$U$192,9,TRUE))&lt;10^-10,"Alt.",D803-VLOOKUP($D803,Sheet1!$M$5:$U$192,9,TRUE)))</f>
        <v>1.6491791409034562E-2</v>
      </c>
      <c r="V803" s="132">
        <f>$D803-Sheet1!$M$3*$R803</f>
        <v>-3.7794383171164014E-2</v>
      </c>
      <c r="Z803" s="6"/>
      <c r="AA803" s="61"/>
    </row>
    <row r="804" spans="1:27" ht="13.5">
      <c r="A804" t="s">
        <v>574</v>
      </c>
      <c r="B804">
        <v>31347</v>
      </c>
      <c r="C804">
        <v>31744</v>
      </c>
      <c r="D804" s="13">
        <f t="shared" ref="D804:D835" si="17">1200*LN($C804/$B804)/LN(2)</f>
        <v>21.787861629408127</v>
      </c>
      <c r="E804" s="61">
        <v>43</v>
      </c>
      <c r="F804" s="65">
        <v>76.705724293816729</v>
      </c>
      <c r="G804" s="6">
        <v>399</v>
      </c>
      <c r="H804" s="6">
        <v>419</v>
      </c>
      <c r="I804" s="65">
        <v>-7.3415580180242328</v>
      </c>
      <c r="J804" s="6">
        <f>VLOOKUP($D804,Sheet1!$A$5:$C$192,3,TRUE)</f>
        <v>4</v>
      </c>
      <c r="K804" s="42" t="str">
        <f>VLOOKUP($D804,Sheet1!$A$5:$C$192,2,TRUE)</f>
        <v>/|</v>
      </c>
      <c r="L804" s="6">
        <f>FLOOR(VLOOKUP($D804,Sheet1!$D$5:$F$192,3,TRUE),1)</f>
        <v>9</v>
      </c>
      <c r="M804" s="42" t="str">
        <f>VLOOKUP($D804,Sheet1!$D$5:$F$192,2,TRUE)</f>
        <v>/|</v>
      </c>
      <c r="N804" s="23">
        <f>FLOOR(VLOOKUP($D804,Sheet1!$G$5:$I$192,3,TRUE),1)</f>
        <v>11</v>
      </c>
      <c r="O804" s="42" t="str">
        <f>VLOOKUP($D804,Sheet1!$G$5:$I$192,2,TRUE)</f>
        <v>/|</v>
      </c>
      <c r="P804" s="23">
        <v>1</v>
      </c>
      <c r="Q804" s="43" t="str">
        <f>VLOOKUP($D804,Sheet1!$J$5:$L$192,2,TRUE)</f>
        <v>/|'</v>
      </c>
      <c r="R804" s="23">
        <f>FLOOR(VLOOKUP($D804,Sheet1!$M$5:$O$192,3,TRUE),1)</f>
        <v>45</v>
      </c>
      <c r="S804" s="42" t="str">
        <f>VLOOKUP($D804,Sheet1!$M$5:$O$192,2,TRUE)</f>
        <v>/|'</v>
      </c>
      <c r="T804" s="117">
        <f>IF(ABS(D804-VLOOKUP($D804,Sheet1!$M$5:$T$192,8,TRUE))&lt;10^-10,"SoCA",D804-VLOOKUP($D804,Sheet1!$M$5:$T$192,8,TRUE))</f>
        <v>-0.14114413326147712</v>
      </c>
      <c r="U804" s="109">
        <f>IF(VLOOKUP($D804,Sheet1!$M$5:$U$192,9,TRUE)=0,"",IF(ABS(D804-VLOOKUP($D804,Sheet1!$M$5:$U$192,9,TRUE))&lt;10^-10,"Alt.",D804-VLOOKUP($D804,Sheet1!$M$5:$U$192,9,TRUE)))</f>
        <v>-0.11418383805904142</v>
      </c>
      <c r="V804" s="132">
        <f>$D804-Sheet1!$M$3*$R804</f>
        <v>-0.16847001263924</v>
      </c>
      <c r="Z804" s="6"/>
      <c r="AA804" s="61"/>
    </row>
    <row r="805" spans="1:27" ht="13.5">
      <c r="A805" t="s">
        <v>437</v>
      </c>
      <c r="B805">
        <v>79</v>
      </c>
      <c r="C805">
        <v>80</v>
      </c>
      <c r="D805" s="13">
        <f t="shared" si="17"/>
        <v>21.776816052311425</v>
      </c>
      <c r="E805" s="61" t="s">
        <v>1931</v>
      </c>
      <c r="F805" s="65">
        <v>84.04346897524448</v>
      </c>
      <c r="G805" s="6">
        <v>312</v>
      </c>
      <c r="H805" s="6">
        <v>275</v>
      </c>
      <c r="I805" s="65">
        <v>-1.3408779016011603</v>
      </c>
      <c r="J805" s="6">
        <f>VLOOKUP($D805,Sheet1!$A$5:$C$192,3,TRUE)</f>
        <v>4</v>
      </c>
      <c r="K805" s="42" t="str">
        <f>VLOOKUP($D805,Sheet1!$A$5:$C$192,2,TRUE)</f>
        <v>/|</v>
      </c>
      <c r="L805" s="6">
        <f>FLOOR(VLOOKUP($D805,Sheet1!$D$5:$F$192,3,TRUE),1)</f>
        <v>9</v>
      </c>
      <c r="M805" s="42" t="str">
        <f>VLOOKUP($D805,Sheet1!$D$5:$F$192,2,TRUE)</f>
        <v>/|</v>
      </c>
      <c r="N805" s="23">
        <f>FLOOR(VLOOKUP($D805,Sheet1!$G$5:$I$192,3,TRUE),1)</f>
        <v>11</v>
      </c>
      <c r="O805" s="42" t="str">
        <f>VLOOKUP($D805,Sheet1!$G$5:$I$192,2,TRUE)</f>
        <v>/|</v>
      </c>
      <c r="P805" s="23">
        <v>1</v>
      </c>
      <c r="Q805" s="43" t="str">
        <f>VLOOKUP($D805,Sheet1!$J$5:$L$192,2,TRUE)</f>
        <v>/|'</v>
      </c>
      <c r="R805" s="23">
        <f>FLOOR(VLOOKUP($D805,Sheet1!$M$5:$O$192,3,TRUE),1)</f>
        <v>45</v>
      </c>
      <c r="S805" s="42" t="str">
        <f>VLOOKUP($D805,Sheet1!$M$5:$O$192,2,TRUE)</f>
        <v>/|'</v>
      </c>
      <c r="T805" s="117">
        <f>IF(ABS(D805-VLOOKUP($D805,Sheet1!$M$5:$T$192,8,TRUE))&lt;10^-10,"SoCA",D805-VLOOKUP($D805,Sheet1!$M$5:$T$192,8,TRUE))</f>
        <v>-0.1521897103581793</v>
      </c>
      <c r="U805" s="109">
        <f>IF(VLOOKUP($D805,Sheet1!$M$5:$U$192,9,TRUE)=0,"",IF(ABS(D805-VLOOKUP($D805,Sheet1!$M$5:$U$192,9,TRUE))&lt;10^-10,"Alt.",D805-VLOOKUP($D805,Sheet1!$M$5:$U$192,9,TRUE)))</f>
        <v>-0.1252294151557436</v>
      </c>
      <c r="V805" s="132">
        <f>$D805-Sheet1!$M$3*$R805</f>
        <v>-0.17951558973594217</v>
      </c>
      <c r="Z805" s="6"/>
      <c r="AA805" s="61"/>
    </row>
    <row r="806" spans="1:27" ht="13.5">
      <c r="A806" t="s">
        <v>907</v>
      </c>
      <c r="B806">
        <v>107163</v>
      </c>
      <c r="C806">
        <v>108544</v>
      </c>
      <c r="D806" s="13">
        <f t="shared" si="17"/>
        <v>22.167726479877171</v>
      </c>
      <c r="E806" s="61" t="s">
        <v>1931</v>
      </c>
      <c r="F806" s="65">
        <v>85.752715946421915</v>
      </c>
      <c r="G806" s="6">
        <v>608</v>
      </c>
      <c r="H806" s="6">
        <v>755</v>
      </c>
      <c r="I806" s="65">
        <v>-8.3649476807906087</v>
      </c>
      <c r="J806" s="6">
        <f>VLOOKUP($D806,Sheet1!$A$5:$C$192,3,TRUE)</f>
        <v>4</v>
      </c>
      <c r="K806" s="42" t="str">
        <f>VLOOKUP($D806,Sheet1!$A$5:$C$192,2,TRUE)</f>
        <v>/|</v>
      </c>
      <c r="L806" s="6">
        <f>FLOOR(VLOOKUP($D806,Sheet1!$D$5:$F$192,3,TRUE),1)</f>
        <v>9</v>
      </c>
      <c r="M806" s="42" t="str">
        <f>VLOOKUP($D806,Sheet1!$D$5:$F$192,2,TRUE)</f>
        <v>/|</v>
      </c>
      <c r="N806" s="23">
        <f>FLOOR(VLOOKUP($D806,Sheet1!$G$5:$I$192,3,TRUE),1)</f>
        <v>11</v>
      </c>
      <c r="O806" s="42" t="str">
        <f>VLOOKUP($D806,Sheet1!$G$5:$I$192,2,TRUE)</f>
        <v>/|</v>
      </c>
      <c r="P806" s="23">
        <v>1</v>
      </c>
      <c r="Q806" s="43" t="str">
        <f>VLOOKUP($D806,Sheet1!$J$5:$L$192,2,TRUE)</f>
        <v>/|'</v>
      </c>
      <c r="R806" s="23">
        <f>FLOOR(VLOOKUP($D806,Sheet1!$M$5:$O$192,3,TRUE),1)</f>
        <v>45</v>
      </c>
      <c r="S806" s="42" t="str">
        <f>VLOOKUP($D806,Sheet1!$M$5:$O$192,2,TRUE)</f>
        <v>/|'</v>
      </c>
      <c r="T806" s="117">
        <f>IF(ABS(D806-VLOOKUP($D806,Sheet1!$M$5:$T$192,8,TRUE))&lt;10^-10,"SoCA",D806-VLOOKUP($D806,Sheet1!$M$5:$T$192,8,TRUE))</f>
        <v>0.23872071720756693</v>
      </c>
      <c r="U806" s="109">
        <f>IF(VLOOKUP($D806,Sheet1!$M$5:$U$192,9,TRUE)=0,"",IF(ABS(D806-VLOOKUP($D806,Sheet1!$M$5:$U$192,9,TRUE))&lt;10^-10,"Alt.",D806-VLOOKUP($D806,Sheet1!$M$5:$U$192,9,TRUE)))</f>
        <v>0.26568101241000264</v>
      </c>
      <c r="V806" s="132">
        <f>$D806-Sheet1!$M$3*$R806</f>
        <v>0.21139483782980406</v>
      </c>
      <c r="Z806" s="6"/>
      <c r="AA806" s="61"/>
    </row>
    <row r="807" spans="1:27" ht="13.5">
      <c r="A807" t="s">
        <v>516</v>
      </c>
      <c r="B807">
        <v>78</v>
      </c>
      <c r="C807">
        <v>79</v>
      </c>
      <c r="D807" s="13">
        <f t="shared" si="17"/>
        <v>22.054235177825422</v>
      </c>
      <c r="E807" s="61" t="s">
        <v>1931</v>
      </c>
      <c r="F807" s="65">
        <v>92.089431205213771</v>
      </c>
      <c r="G807" s="6">
        <v>391</v>
      </c>
      <c r="H807" s="6">
        <v>357</v>
      </c>
      <c r="I807" s="65">
        <v>-2.3579596078519578</v>
      </c>
      <c r="J807" s="6">
        <f>VLOOKUP($D807,Sheet1!$A$5:$C$192,3,TRUE)</f>
        <v>4</v>
      </c>
      <c r="K807" s="42" t="str">
        <f>VLOOKUP($D807,Sheet1!$A$5:$C$192,2,TRUE)</f>
        <v>/|</v>
      </c>
      <c r="L807" s="6">
        <f>FLOOR(VLOOKUP($D807,Sheet1!$D$5:$F$192,3,TRUE),1)</f>
        <v>9</v>
      </c>
      <c r="M807" s="42" t="str">
        <f>VLOOKUP($D807,Sheet1!$D$5:$F$192,2,TRUE)</f>
        <v>/|</v>
      </c>
      <c r="N807" s="23">
        <f>FLOOR(VLOOKUP($D807,Sheet1!$G$5:$I$192,3,TRUE),1)</f>
        <v>11</v>
      </c>
      <c r="O807" s="42" t="str">
        <f>VLOOKUP($D807,Sheet1!$G$5:$I$192,2,TRUE)</f>
        <v>/|</v>
      </c>
      <c r="P807" s="23">
        <v>1</v>
      </c>
      <c r="Q807" s="43" t="str">
        <f>VLOOKUP($D807,Sheet1!$J$5:$L$192,2,TRUE)</f>
        <v>/|'</v>
      </c>
      <c r="R807" s="23">
        <f>FLOOR(VLOOKUP($D807,Sheet1!$M$5:$O$192,3,TRUE),1)</f>
        <v>45</v>
      </c>
      <c r="S807" s="42" t="str">
        <f>VLOOKUP($D807,Sheet1!$M$5:$O$192,2,TRUE)</f>
        <v>/|'</v>
      </c>
      <c r="T807" s="117">
        <f>IF(ABS(D807-VLOOKUP($D807,Sheet1!$M$5:$T$192,8,TRUE))&lt;10^-10,"SoCA",D807-VLOOKUP($D807,Sheet1!$M$5:$T$192,8,TRUE))</f>
        <v>0.1252294151558182</v>
      </c>
      <c r="U807" s="109">
        <f>IF(VLOOKUP($D807,Sheet1!$M$5:$U$192,9,TRUE)=0,"",IF(ABS(D807-VLOOKUP($D807,Sheet1!$M$5:$U$192,9,TRUE))&lt;10^-10,"Alt.",D807-VLOOKUP($D807,Sheet1!$M$5:$U$192,9,TRUE)))</f>
        <v>0.1521897103582539</v>
      </c>
      <c r="V807" s="132">
        <f>$D807-Sheet1!$M$3*$R807</f>
        <v>9.7903535778055328E-2</v>
      </c>
      <c r="Z807" s="6"/>
      <c r="AA807" s="61"/>
    </row>
    <row r="808" spans="1:27" ht="13.5">
      <c r="A808" s="6" t="s">
        <v>1817</v>
      </c>
      <c r="B808">
        <v>295245</v>
      </c>
      <c r="C808">
        <v>299008</v>
      </c>
      <c r="D808" s="13">
        <f t="shared" si="17"/>
        <v>21.925748137311629</v>
      </c>
      <c r="E808" s="61" t="s">
        <v>1931</v>
      </c>
      <c r="F808" s="65">
        <v>121.98972666540462</v>
      </c>
      <c r="G808" s="59">
        <v>1333</v>
      </c>
      <c r="H808" s="63">
        <v>1000022</v>
      </c>
      <c r="I808" s="65">
        <v>-11.350048192663749</v>
      </c>
      <c r="J808" s="6">
        <f>VLOOKUP($D808,Sheet1!$A$5:$C$192,3,TRUE)</f>
        <v>4</v>
      </c>
      <c r="K808" s="42" t="str">
        <f>VLOOKUP($D808,Sheet1!$A$5:$C$192,2,TRUE)</f>
        <v>/|</v>
      </c>
      <c r="L808" s="6">
        <f>FLOOR(VLOOKUP($D808,Sheet1!$D$5:$F$192,3,TRUE),1)</f>
        <v>9</v>
      </c>
      <c r="M808" s="42" t="str">
        <f>VLOOKUP($D808,Sheet1!$D$5:$F$192,2,TRUE)</f>
        <v>/|</v>
      </c>
      <c r="N808" s="23">
        <f>FLOOR(VLOOKUP($D808,Sheet1!$G$5:$I$192,3,TRUE),1)</f>
        <v>11</v>
      </c>
      <c r="O808" s="42" t="str">
        <f>VLOOKUP($D808,Sheet1!$G$5:$I$192,2,TRUE)</f>
        <v>/|</v>
      </c>
      <c r="P808" s="23">
        <v>1</v>
      </c>
      <c r="Q808" s="43" t="str">
        <f>VLOOKUP($D808,Sheet1!$J$5:$L$192,2,TRUE)</f>
        <v>/|'</v>
      </c>
      <c r="R808" s="23">
        <f>FLOOR(VLOOKUP($D808,Sheet1!$M$5:$O$192,3,TRUE),1)</f>
        <v>45</v>
      </c>
      <c r="S808" s="42" t="str">
        <f>VLOOKUP($D808,Sheet1!$M$5:$O$192,2,TRUE)</f>
        <v>/|'</v>
      </c>
      <c r="T808" s="117">
        <f>IF(ABS(D808-VLOOKUP($D808,Sheet1!$M$5:$T$192,8,TRUE))&lt;10^-10,"SoCA",D808-VLOOKUP($D808,Sheet1!$M$5:$T$192,8,TRUE))</f>
        <v>-3.2576253579748027E-3</v>
      </c>
      <c r="U808" s="109">
        <f>IF(VLOOKUP($D808,Sheet1!$M$5:$U$192,9,TRUE)=0,"",IF(ABS(D808-VLOOKUP($D808,Sheet1!$M$5:$U$192,9,TRUE))&lt;10^-10,"Alt.",D808-VLOOKUP($D808,Sheet1!$M$5:$U$192,9,TRUE)))</f>
        <v>2.37026698444609E-2</v>
      </c>
      <c r="V808" s="132">
        <f>$D808-Sheet1!$M$3*$R808</f>
        <v>-3.0583504735737677E-2</v>
      </c>
      <c r="Z808" s="6"/>
      <c r="AA808" s="61"/>
    </row>
    <row r="809" spans="1:27" ht="13.5">
      <c r="A809" t="s">
        <v>1578</v>
      </c>
      <c r="B809">
        <v>4489216</v>
      </c>
      <c r="C809">
        <v>4546773</v>
      </c>
      <c r="D809" s="13">
        <f t="shared" si="17"/>
        <v>22.055357935123755</v>
      </c>
      <c r="E809" s="61" t="s">
        <v>1931</v>
      </c>
      <c r="F809" s="65">
        <v>205.88034386131898</v>
      </c>
      <c r="G809" s="6">
        <v>1486</v>
      </c>
      <c r="H809" s="6">
        <v>1427</v>
      </c>
      <c r="I809" s="65">
        <v>8.6419712598907559</v>
      </c>
      <c r="J809" s="6">
        <f>VLOOKUP($D809,Sheet1!$A$5:$C$192,3,TRUE)</f>
        <v>4</v>
      </c>
      <c r="K809" s="42" t="str">
        <f>VLOOKUP($D809,Sheet1!$A$5:$C$192,2,TRUE)</f>
        <v>/|</v>
      </c>
      <c r="L809" s="6">
        <f>FLOOR(VLOOKUP($D809,Sheet1!$D$5:$F$192,3,TRUE),1)</f>
        <v>9</v>
      </c>
      <c r="M809" s="42" t="str">
        <f>VLOOKUP($D809,Sheet1!$D$5:$F$192,2,TRUE)</f>
        <v>/|</v>
      </c>
      <c r="N809" s="23">
        <f>FLOOR(VLOOKUP($D809,Sheet1!$G$5:$I$192,3,TRUE),1)</f>
        <v>11</v>
      </c>
      <c r="O809" s="42" t="str">
        <f>VLOOKUP($D809,Sheet1!$G$5:$I$192,2,TRUE)</f>
        <v>/|</v>
      </c>
      <c r="P809" s="23">
        <v>1</v>
      </c>
      <c r="Q809" s="43" t="str">
        <f>VLOOKUP($D809,Sheet1!$J$5:$L$192,2,TRUE)</f>
        <v>/|'</v>
      </c>
      <c r="R809" s="23">
        <f>FLOOR(VLOOKUP($D809,Sheet1!$M$5:$O$192,3,TRUE),1)</f>
        <v>45</v>
      </c>
      <c r="S809" s="42" t="str">
        <f>VLOOKUP($D809,Sheet1!$M$5:$O$192,2,TRUE)</f>
        <v>/|'</v>
      </c>
      <c r="T809" s="117">
        <f>IF(ABS(D809-VLOOKUP($D809,Sheet1!$M$5:$T$192,8,TRUE))&lt;10^-10,"SoCA",D809-VLOOKUP($D809,Sheet1!$M$5:$T$192,8,TRUE))</f>
        <v>0.1263521724541512</v>
      </c>
      <c r="U809" s="109">
        <f>IF(VLOOKUP($D809,Sheet1!$M$5:$U$192,9,TRUE)=0,"",IF(ABS(D809-VLOOKUP($D809,Sheet1!$M$5:$U$192,9,TRUE))&lt;10^-10,"Alt.",D809-VLOOKUP($D809,Sheet1!$M$5:$U$192,9,TRUE)))</f>
        <v>0.1533124676565869</v>
      </c>
      <c r="V809" s="132">
        <f>$D809-Sheet1!$M$3*$R809</f>
        <v>9.9026293076388328E-2</v>
      </c>
      <c r="Z809" s="6"/>
      <c r="AA809" s="61"/>
    </row>
    <row r="810" spans="1:27" ht="13.5">
      <c r="A810" t="s">
        <v>1202</v>
      </c>
      <c r="B810">
        <v>13041664</v>
      </c>
      <c r="C810">
        <v>13207293</v>
      </c>
      <c r="D810" s="13">
        <f t="shared" si="17"/>
        <v>21.84821057632854</v>
      </c>
      <c r="E810" s="61" t="s">
        <v>1931</v>
      </c>
      <c r="F810" s="65">
        <v>336.25525179661639</v>
      </c>
      <c r="G810" s="6">
        <v>973</v>
      </c>
      <c r="H810" s="6">
        <v>1051</v>
      </c>
      <c r="I810" s="65">
        <v>7.6547260774506931</v>
      </c>
      <c r="J810" s="6">
        <f>VLOOKUP($D810,Sheet1!$A$5:$C$192,3,TRUE)</f>
        <v>4</v>
      </c>
      <c r="K810" s="42" t="str">
        <f>VLOOKUP($D810,Sheet1!$A$5:$C$192,2,TRUE)</f>
        <v>/|</v>
      </c>
      <c r="L810" s="6">
        <f>FLOOR(VLOOKUP($D810,Sheet1!$D$5:$F$192,3,TRUE),1)</f>
        <v>9</v>
      </c>
      <c r="M810" s="42" t="str">
        <f>VLOOKUP($D810,Sheet1!$D$5:$F$192,2,TRUE)</f>
        <v>/|</v>
      </c>
      <c r="N810" s="23">
        <f>FLOOR(VLOOKUP($D810,Sheet1!$G$5:$I$192,3,TRUE),1)</f>
        <v>11</v>
      </c>
      <c r="O810" s="42" t="str">
        <f>VLOOKUP($D810,Sheet1!$G$5:$I$192,2,TRUE)</f>
        <v>/|</v>
      </c>
      <c r="P810" s="23">
        <v>1</v>
      </c>
      <c r="Q810" s="43" t="str">
        <f>VLOOKUP($D810,Sheet1!$J$5:$L$192,2,TRUE)</f>
        <v>/|'</v>
      </c>
      <c r="R810" s="23">
        <f>FLOOR(VLOOKUP($D810,Sheet1!$M$5:$O$192,3,TRUE),1)</f>
        <v>45</v>
      </c>
      <c r="S810" s="42" t="str">
        <f>VLOOKUP($D810,Sheet1!$M$5:$O$192,2,TRUE)</f>
        <v>/|'</v>
      </c>
      <c r="T810" s="117">
        <f>IF(ABS(D810-VLOOKUP($D810,Sheet1!$M$5:$T$192,8,TRUE))&lt;10^-10,"SoCA",D810-VLOOKUP($D810,Sheet1!$M$5:$T$192,8,TRUE))</f>
        <v>-8.0795186341063641E-2</v>
      </c>
      <c r="U810" s="109">
        <f>IF(VLOOKUP($D810,Sheet1!$M$5:$U$192,9,TRUE)=0,"",IF(ABS(D810-VLOOKUP($D810,Sheet1!$M$5:$U$192,9,TRUE))&lt;10^-10,"Alt.",D810-VLOOKUP($D810,Sheet1!$M$5:$U$192,9,TRUE)))</f>
        <v>-5.3834891138627938E-2</v>
      </c>
      <c r="V810" s="132">
        <f>$D810-Sheet1!$M$3*$R810</f>
        <v>-0.10812106571882651</v>
      </c>
      <c r="Z810" s="6"/>
      <c r="AA810" s="61"/>
    </row>
    <row r="811" spans="1:27" ht="13.5">
      <c r="A811" t="s">
        <v>1744</v>
      </c>
      <c r="B811">
        <v>74145861</v>
      </c>
      <c r="C811">
        <v>75087872</v>
      </c>
      <c r="D811" s="13">
        <f t="shared" si="17"/>
        <v>21.856495123817403</v>
      </c>
      <c r="E811" s="61" t="s">
        <v>1931</v>
      </c>
      <c r="F811" s="65">
        <v>8395.2298081530316</v>
      </c>
      <c r="G811" s="6">
        <v>1532</v>
      </c>
      <c r="H811" s="6">
        <v>1593</v>
      </c>
      <c r="I811" s="65">
        <v>-10.345784032320445</v>
      </c>
      <c r="J811" s="6">
        <f>VLOOKUP($D811,Sheet1!$A$5:$C$192,3,TRUE)</f>
        <v>4</v>
      </c>
      <c r="K811" s="42" t="str">
        <f>VLOOKUP($D811,Sheet1!$A$5:$C$192,2,TRUE)</f>
        <v>/|</v>
      </c>
      <c r="L811" s="6">
        <f>FLOOR(VLOOKUP($D811,Sheet1!$D$5:$F$192,3,TRUE),1)</f>
        <v>9</v>
      </c>
      <c r="M811" s="42" t="str">
        <f>VLOOKUP($D811,Sheet1!$D$5:$F$192,2,TRUE)</f>
        <v>/|</v>
      </c>
      <c r="N811" s="23">
        <f>FLOOR(VLOOKUP($D811,Sheet1!$G$5:$I$192,3,TRUE),1)</f>
        <v>11</v>
      </c>
      <c r="O811" s="42" t="str">
        <f>VLOOKUP($D811,Sheet1!$G$5:$I$192,2,TRUE)</f>
        <v>/|</v>
      </c>
      <c r="P811" s="23">
        <v>1</v>
      </c>
      <c r="Q811" s="43" t="str">
        <f>VLOOKUP($D811,Sheet1!$J$5:$L$192,2,TRUE)</f>
        <v>/|'</v>
      </c>
      <c r="R811" s="23">
        <f>FLOOR(VLOOKUP($D811,Sheet1!$M$5:$O$192,3,TRUE),1)</f>
        <v>45</v>
      </c>
      <c r="S811" s="42" t="str">
        <f>VLOOKUP($D811,Sheet1!$M$5:$O$192,2,TRUE)</f>
        <v>/|'</v>
      </c>
      <c r="T811" s="117">
        <f>IF(ABS(D811-VLOOKUP($D811,Sheet1!$M$5:$T$192,8,TRUE))&lt;10^-10,"SoCA",D811-VLOOKUP($D811,Sheet1!$M$5:$T$192,8,TRUE))</f>
        <v>-7.2510638852200771E-2</v>
      </c>
      <c r="U811" s="109">
        <f>IF(VLOOKUP($D811,Sheet1!$M$5:$U$192,9,TRUE)=0,"",IF(ABS(D811-VLOOKUP($D811,Sheet1!$M$5:$U$192,9,TRUE))&lt;10^-10,"Alt.",D811-VLOOKUP($D811,Sheet1!$M$5:$U$192,9,TRUE)))</f>
        <v>-4.5550343649765068E-2</v>
      </c>
      <c r="V811" s="132">
        <f>$D811-Sheet1!$M$3*$R811</f>
        <v>-9.9836518229963644E-2</v>
      </c>
      <c r="Z811" s="6"/>
      <c r="AA811" s="61"/>
    </row>
    <row r="812" spans="1:27" ht="13.5">
      <c r="A812" t="s">
        <v>1577</v>
      </c>
      <c r="B812">
        <v>273523933184</v>
      </c>
      <c r="C812">
        <v>277044503877</v>
      </c>
      <c r="D812" s="13">
        <f t="shared" si="17"/>
        <v>22.140807641510612</v>
      </c>
      <c r="E812" s="61" t="s">
        <v>1931</v>
      </c>
      <c r="F812" s="65">
        <v>1383132.8225857562</v>
      </c>
      <c r="G812" s="6">
        <v>1485</v>
      </c>
      <c r="H812" s="6">
        <v>1426</v>
      </c>
      <c r="I812" s="65">
        <v>8.6367098101582869</v>
      </c>
      <c r="J812" s="6">
        <f>VLOOKUP($D812,Sheet1!$A$5:$C$192,3,TRUE)</f>
        <v>4</v>
      </c>
      <c r="K812" s="42" t="str">
        <f>VLOOKUP($D812,Sheet1!$A$5:$C$192,2,TRUE)</f>
        <v>/|</v>
      </c>
      <c r="L812" s="6">
        <f>FLOOR(VLOOKUP($D812,Sheet1!$D$5:$F$192,3,TRUE),1)</f>
        <v>9</v>
      </c>
      <c r="M812" s="42" t="str">
        <f>VLOOKUP($D812,Sheet1!$D$5:$F$192,2,TRUE)</f>
        <v>/|</v>
      </c>
      <c r="N812" s="23">
        <f>FLOOR(VLOOKUP($D812,Sheet1!$G$5:$I$192,3,TRUE),1)</f>
        <v>11</v>
      </c>
      <c r="O812" s="42" t="str">
        <f>VLOOKUP($D812,Sheet1!$G$5:$I$192,2,TRUE)</f>
        <v>/|</v>
      </c>
      <c r="P812" s="23">
        <v>1</v>
      </c>
      <c r="Q812" s="43" t="str">
        <f>VLOOKUP($D812,Sheet1!$J$5:$L$192,2,TRUE)</f>
        <v>/|'</v>
      </c>
      <c r="R812" s="23">
        <f>FLOOR(VLOOKUP($D812,Sheet1!$M$5:$O$192,3,TRUE),1)</f>
        <v>45</v>
      </c>
      <c r="S812" s="42" t="str">
        <f>VLOOKUP($D812,Sheet1!$M$5:$O$192,2,TRUE)</f>
        <v>/|'</v>
      </c>
      <c r="T812" s="117">
        <f>IF(ABS(D812-VLOOKUP($D812,Sheet1!$M$5:$T$192,8,TRUE))&lt;10^-10,"SoCA",D812-VLOOKUP($D812,Sheet1!$M$5:$T$192,8,TRUE))</f>
        <v>0.21180187884100832</v>
      </c>
      <c r="U812" s="109">
        <f>IF(VLOOKUP($D812,Sheet1!$M$5:$U$192,9,TRUE)=0,"",IF(ABS(D812-VLOOKUP($D812,Sheet1!$M$5:$U$192,9,TRUE))&lt;10^-10,"Alt.",D812-VLOOKUP($D812,Sheet1!$M$5:$U$192,9,TRUE)))</f>
        <v>0.23876217404344402</v>
      </c>
      <c r="V812" s="132">
        <f>$D812-Sheet1!$M$3*$R812</f>
        <v>0.18447599946324544</v>
      </c>
      <c r="Z812" s="6"/>
      <c r="AA812" s="61"/>
    </row>
    <row r="813" spans="1:27" ht="13.5">
      <c r="A813" s="38" t="s">
        <v>95</v>
      </c>
      <c r="B813" s="38">
        <f>3^5*13</f>
        <v>3159</v>
      </c>
      <c r="C813" s="38">
        <f>2^7*5^2</f>
        <v>3200</v>
      </c>
      <c r="D813" s="13">
        <f t="shared" si="17"/>
        <v>22.324761633422071</v>
      </c>
      <c r="E813" s="61">
        <v>13</v>
      </c>
      <c r="F813" s="65">
        <v>28.622245728158095</v>
      </c>
      <c r="G813" s="6">
        <v>115</v>
      </c>
      <c r="H813" s="6">
        <v>114</v>
      </c>
      <c r="I813" s="65">
        <v>-6.3746169073045804</v>
      </c>
      <c r="J813" s="6">
        <f>VLOOKUP($D813,Sheet1!$A$5:$C$192,3,TRUE)</f>
        <v>4</v>
      </c>
      <c r="K813" s="42" t="str">
        <f>VLOOKUP($D813,Sheet1!$A$5:$C$192,2,TRUE)</f>
        <v>/|</v>
      </c>
      <c r="L813" s="6">
        <f>FLOOR(VLOOKUP($D813,Sheet1!$D$5:$F$192,3,TRUE),1)</f>
        <v>9</v>
      </c>
      <c r="M813" s="42" t="str">
        <f>VLOOKUP($D813,Sheet1!$D$5:$F$192,2,TRUE)</f>
        <v>/|</v>
      </c>
      <c r="N813" s="23">
        <f>FLOOR(VLOOKUP($D813,Sheet1!$G$5:$I$192,3,TRUE),1)</f>
        <v>11</v>
      </c>
      <c r="O813" s="42" t="str">
        <f>VLOOKUP($D813,Sheet1!$G$5:$I$192,2,TRUE)</f>
        <v>/|</v>
      </c>
      <c r="P813" s="23">
        <v>1</v>
      </c>
      <c r="Q813" s="45" t="str">
        <f>VLOOKUP($D813,Sheet1!$J$5:$L$192,2,TRUE)</f>
        <v>/|''</v>
      </c>
      <c r="R813" s="38">
        <f>FLOOR(VLOOKUP($D813,Sheet1!$M$5:$O$192,3,TRUE),1)</f>
        <v>46</v>
      </c>
      <c r="S813" s="45" t="str">
        <f>VLOOKUP($D813,Sheet1!$M$5:$O$192,2,TRUE)</f>
        <v>/|''</v>
      </c>
      <c r="T813" s="108">
        <f>IF(ABS(D813-VLOOKUP($D813,Sheet1!$M$5:$T$192,8,TRUE))&lt;10^-10,"SoCA",D813-VLOOKUP($D813,Sheet1!$M$5:$T$192,8,TRUE))</f>
        <v>-1.4052167394307702E-2</v>
      </c>
      <c r="U813" s="112" t="str">
        <f>IF(VLOOKUP($D813,Sheet1!$M$5:$U$192,9,TRUE)=0,"",IF(ABS(D813-VLOOKUP($D813,Sheet1!$M$5:$U$192,9,TRUE))&lt;10^-10,"Alt.",D813-VLOOKUP($D813,Sheet1!$M$5:$U$192,9,TRUE)))</f>
        <v>Alt.</v>
      </c>
      <c r="V813" s="133">
        <f>$D813-Sheet1!$M$3*$R813</f>
        <v>-0.11948848955968217</v>
      </c>
      <c r="Z813" s="6"/>
      <c r="AA813" s="61"/>
    </row>
    <row r="814" spans="1:27" ht="13.5">
      <c r="A814" s="40" t="s">
        <v>325</v>
      </c>
      <c r="B814" s="40">
        <f>7*11</f>
        <v>77</v>
      </c>
      <c r="C814" s="40">
        <f>2*3*13</f>
        <v>78</v>
      </c>
      <c r="D814" s="13">
        <f t="shared" si="17"/>
        <v>22.338813800816194</v>
      </c>
      <c r="E814" s="61">
        <v>13</v>
      </c>
      <c r="F814" s="65">
        <v>37.231844498897068</v>
      </c>
      <c r="G814" s="6">
        <v>173</v>
      </c>
      <c r="H814" s="6">
        <v>157</v>
      </c>
      <c r="I814" s="65">
        <v>-0.37548215044587008</v>
      </c>
      <c r="J814" s="6">
        <f>VLOOKUP($D814,Sheet1!$A$5:$C$192,3,TRUE)</f>
        <v>4</v>
      </c>
      <c r="K814" s="42" t="str">
        <f>VLOOKUP($D814,Sheet1!$A$5:$C$192,2,TRUE)</f>
        <v>/|</v>
      </c>
      <c r="L814" s="6">
        <f>FLOOR(VLOOKUP($D814,Sheet1!$D$5:$F$192,3,TRUE),1)</f>
        <v>9</v>
      </c>
      <c r="M814" s="42" t="str">
        <f>VLOOKUP($D814,Sheet1!$D$5:$F$192,2,TRUE)</f>
        <v>/|</v>
      </c>
      <c r="N814" s="23">
        <f>FLOOR(VLOOKUP($D814,Sheet1!$G$5:$I$192,3,TRUE),1)</f>
        <v>11</v>
      </c>
      <c r="O814" s="42" t="str">
        <f>VLOOKUP($D814,Sheet1!$G$5:$I$192,2,TRUE)</f>
        <v>/|</v>
      </c>
      <c r="P814" s="23">
        <v>1</v>
      </c>
      <c r="Q814" s="43" t="str">
        <f>VLOOKUP($D814,Sheet1!$J$5:$L$192,2,TRUE)</f>
        <v>/|''</v>
      </c>
      <c r="R814" s="40">
        <f>FLOOR(VLOOKUP($D814,Sheet1!$M$5:$O$192,3,TRUE),1)</f>
        <v>46</v>
      </c>
      <c r="S814" s="46" t="str">
        <f>VLOOKUP($D814,Sheet1!$M$5:$O$192,2,TRUE)</f>
        <v>')|~'</v>
      </c>
      <c r="T814" s="115">
        <f>IF(ABS(D814-VLOOKUP($D814,Sheet1!$M$5:$T$192,8,TRUE))&lt;10^-10,"SoCA",D814-VLOOKUP($D814,Sheet1!$M$5:$T$192,8,TRUE))</f>
        <v>-0.11961480925709722</v>
      </c>
      <c r="U814" s="115">
        <f>IF(VLOOKUP($D814,Sheet1!$M$5:$U$192,9,TRUE)=0,"",IF(ABS(D814-VLOOKUP($D814,Sheet1!$M$5:$U$192,9,TRUE))&lt;10^-10,"Alt.",D814-VLOOKUP($D814,Sheet1!$M$5:$U$192,9,TRUE)))</f>
        <v>-9.2654514054661519E-2</v>
      </c>
      <c r="V814" s="132">
        <f>$D814-Sheet1!$M$3*$R814</f>
        <v>-0.1054363221655592</v>
      </c>
      <c r="Z814" s="6"/>
      <c r="AA814" s="61"/>
    </row>
    <row r="815" spans="1:27" ht="13.5">
      <c r="A815" s="6" t="s">
        <v>407</v>
      </c>
      <c r="B815" s="6">
        <f>2^2*19</f>
        <v>76</v>
      </c>
      <c r="C815" s="6">
        <f>7*11</f>
        <v>77</v>
      </c>
      <c r="D815" s="13">
        <f t="shared" si="17"/>
        <v>22.630832701578925</v>
      </c>
      <c r="E815" s="61">
        <v>19</v>
      </c>
      <c r="F815" s="65">
        <v>44.436703396926681</v>
      </c>
      <c r="G815" s="6">
        <v>267</v>
      </c>
      <c r="H815" s="6">
        <v>244</v>
      </c>
      <c r="I815" s="65">
        <v>-1.3934628180486093</v>
      </c>
      <c r="J815" s="6">
        <f>VLOOKUP($D815,Sheet1!$A$5:$C$192,3,TRUE)</f>
        <v>4</v>
      </c>
      <c r="K815" s="42" t="str">
        <f>VLOOKUP($D815,Sheet1!$A$5:$C$192,2,TRUE)</f>
        <v>/|</v>
      </c>
      <c r="L815" s="6">
        <f>FLOOR(VLOOKUP($D815,Sheet1!$D$5:$F$192,3,TRUE),1)</f>
        <v>9</v>
      </c>
      <c r="M815" s="42" t="str">
        <f>VLOOKUP($D815,Sheet1!$D$5:$F$192,2,TRUE)</f>
        <v>/|</v>
      </c>
      <c r="N815" s="23">
        <f>FLOOR(VLOOKUP($D815,Sheet1!$G$5:$I$192,3,TRUE),1)</f>
        <v>11</v>
      </c>
      <c r="O815" s="42" t="str">
        <f>VLOOKUP($D815,Sheet1!$G$5:$I$192,2,TRUE)</f>
        <v>/|</v>
      </c>
      <c r="P815" s="23">
        <v>1</v>
      </c>
      <c r="Q815" s="43" t="str">
        <f>VLOOKUP($D815,Sheet1!$J$5:$L$192,2,TRUE)</f>
        <v>/|''</v>
      </c>
      <c r="R815" s="23">
        <f>FLOOR(VLOOKUP($D815,Sheet1!$M$5:$O$192,3,TRUE),1)</f>
        <v>46</v>
      </c>
      <c r="S815" s="42" t="str">
        <f>VLOOKUP($D815,Sheet1!$M$5:$O$192,2,TRUE)</f>
        <v>')|~'</v>
      </c>
      <c r="T815" s="117">
        <f>IF(ABS(D815-VLOOKUP($D815,Sheet1!$M$5:$T$192,8,TRUE))&lt;10^-10,"SoCA",D815-VLOOKUP($D815,Sheet1!$M$5:$T$192,8,TRUE))</f>
        <v>0.17240409150563352</v>
      </c>
      <c r="U815" s="109">
        <f>IF(VLOOKUP($D815,Sheet1!$M$5:$U$192,9,TRUE)=0,"",IF(ABS(D815-VLOOKUP($D815,Sheet1!$M$5:$U$192,9,TRUE))&lt;10^-10,"Alt.",D815-VLOOKUP($D815,Sheet1!$M$5:$U$192,9,TRUE)))</f>
        <v>0.19936438670806922</v>
      </c>
      <c r="V815" s="132">
        <f>$D815-Sheet1!$M$3*$R815</f>
        <v>0.18658257859717153</v>
      </c>
      <c r="Z815" s="6"/>
      <c r="AA815" s="61"/>
    </row>
    <row r="816" spans="1:27" ht="13.5">
      <c r="A816" t="s">
        <v>1380</v>
      </c>
      <c r="B816">
        <v>1638400</v>
      </c>
      <c r="C816">
        <v>1659933</v>
      </c>
      <c r="D816" s="13">
        <f t="shared" si="17"/>
        <v>22.604868826602043</v>
      </c>
      <c r="E816" s="61">
        <v>23</v>
      </c>
      <c r="F816" s="65">
        <v>47.738918884282789</v>
      </c>
      <c r="G816" s="6">
        <v>1293</v>
      </c>
      <c r="H816" s="6">
        <v>1229</v>
      </c>
      <c r="I816" s="65">
        <v>6.6081358723252643</v>
      </c>
      <c r="J816" s="6">
        <f>VLOOKUP($D816,Sheet1!$A$5:$C$192,3,TRUE)</f>
        <v>4</v>
      </c>
      <c r="K816" s="42" t="str">
        <f>VLOOKUP($D816,Sheet1!$A$5:$C$192,2,TRUE)</f>
        <v>/|</v>
      </c>
      <c r="L816" s="6">
        <f>FLOOR(VLOOKUP($D816,Sheet1!$D$5:$F$192,3,TRUE),1)</f>
        <v>9</v>
      </c>
      <c r="M816" s="42" t="str">
        <f>VLOOKUP($D816,Sheet1!$D$5:$F$192,2,TRUE)</f>
        <v>/|</v>
      </c>
      <c r="N816" s="23">
        <f>FLOOR(VLOOKUP($D816,Sheet1!$G$5:$I$192,3,TRUE),1)</f>
        <v>11</v>
      </c>
      <c r="O816" s="42" t="str">
        <f>VLOOKUP($D816,Sheet1!$G$5:$I$192,2,TRUE)</f>
        <v>/|</v>
      </c>
      <c r="P816" s="23">
        <v>1</v>
      </c>
      <c r="Q816" s="43" t="str">
        <f>VLOOKUP($D816,Sheet1!$J$5:$L$192,2,TRUE)</f>
        <v>/|''</v>
      </c>
      <c r="R816" s="23">
        <f>FLOOR(VLOOKUP($D816,Sheet1!$M$5:$O$192,3,TRUE),1)</f>
        <v>46</v>
      </c>
      <c r="S816" s="42" t="str">
        <f>VLOOKUP($D816,Sheet1!$M$5:$O$192,2,TRUE)</f>
        <v>')|~'</v>
      </c>
      <c r="T816" s="117">
        <f>IF(ABS(D816-VLOOKUP($D816,Sheet1!$M$5:$T$192,8,TRUE))&lt;10^-10,"SoCA",D816-VLOOKUP($D816,Sheet1!$M$5:$T$192,8,TRUE))</f>
        <v>0.14644021652875239</v>
      </c>
      <c r="U816" s="109">
        <f>IF(VLOOKUP($D816,Sheet1!$M$5:$U$192,9,TRUE)=0,"",IF(ABS(D816-VLOOKUP($D816,Sheet1!$M$5:$U$192,9,TRUE))&lt;10^-10,"Alt.",D816-VLOOKUP($D816,Sheet1!$M$5:$U$192,9,TRUE)))</f>
        <v>0.17340051173118809</v>
      </c>
      <c r="V816" s="132">
        <f>$D816-Sheet1!$M$3*$R816</f>
        <v>0.1606187036202904</v>
      </c>
      <c r="Z816" s="6"/>
      <c r="AA816" s="61"/>
    </row>
    <row r="817" spans="1:27" ht="13.5">
      <c r="A817" t="s">
        <v>1383</v>
      </c>
      <c r="B817">
        <v>32384</v>
      </c>
      <c r="C817">
        <v>32805</v>
      </c>
      <c r="D817" s="13">
        <f t="shared" si="17"/>
        <v>22.361431154762194</v>
      </c>
      <c r="E817" s="61">
        <v>23</v>
      </c>
      <c r="F817" s="65">
        <v>50.436996968626495</v>
      </c>
      <c r="G817" s="6">
        <v>1296</v>
      </c>
      <c r="H817" s="6">
        <v>1232</v>
      </c>
      <c r="I817" s="65">
        <v>6.6231252166721681</v>
      </c>
      <c r="J817" s="6">
        <f>VLOOKUP($D817,Sheet1!$A$5:$C$192,3,TRUE)</f>
        <v>4</v>
      </c>
      <c r="K817" s="42" t="str">
        <f>VLOOKUP($D817,Sheet1!$A$5:$C$192,2,TRUE)</f>
        <v>/|</v>
      </c>
      <c r="L817" s="6">
        <f>FLOOR(VLOOKUP($D817,Sheet1!$D$5:$F$192,3,TRUE),1)</f>
        <v>9</v>
      </c>
      <c r="M817" s="42" t="str">
        <f>VLOOKUP($D817,Sheet1!$D$5:$F$192,2,TRUE)</f>
        <v>/|</v>
      </c>
      <c r="N817" s="23">
        <f>FLOOR(VLOOKUP($D817,Sheet1!$G$5:$I$192,3,TRUE),1)</f>
        <v>11</v>
      </c>
      <c r="O817" s="42" t="str">
        <f>VLOOKUP($D817,Sheet1!$G$5:$I$192,2,TRUE)</f>
        <v>/|</v>
      </c>
      <c r="P817" s="23">
        <v>1</v>
      </c>
      <c r="Q817" s="43" t="str">
        <f>VLOOKUP($D817,Sheet1!$J$5:$L$192,2,TRUE)</f>
        <v>/|''</v>
      </c>
      <c r="R817" s="23">
        <f>FLOOR(VLOOKUP($D817,Sheet1!$M$5:$O$192,3,TRUE),1)</f>
        <v>46</v>
      </c>
      <c r="S817" s="42" t="str">
        <f>VLOOKUP($D817,Sheet1!$M$5:$O$192,2,TRUE)</f>
        <v>')|~'</v>
      </c>
      <c r="T817" s="117">
        <f>IF(ABS(D817-VLOOKUP($D817,Sheet1!$M$5:$T$192,8,TRUE))&lt;10^-10,"SoCA",D817-VLOOKUP($D817,Sheet1!$M$5:$T$192,8,TRUE))</f>
        <v>-9.6997455311097269E-2</v>
      </c>
      <c r="U817" s="109">
        <f>IF(VLOOKUP($D817,Sheet1!$M$5:$U$192,9,TRUE)=0,"",IF(ABS(D817-VLOOKUP($D817,Sheet1!$M$5:$U$192,9,TRUE))&lt;10^-10,"Alt.",D817-VLOOKUP($D817,Sheet1!$M$5:$U$192,9,TRUE)))</f>
        <v>-7.0037160108661567E-2</v>
      </c>
      <c r="V817" s="132">
        <f>$D817-Sheet1!$M$3*$R817</f>
        <v>-8.2818968219559252E-2</v>
      </c>
      <c r="Z817" s="6"/>
      <c r="AA817" s="61"/>
    </row>
    <row r="818" spans="1:27" ht="13.5">
      <c r="A818" s="6" t="s">
        <v>335</v>
      </c>
      <c r="B818" s="6">
        <f>2^11*13</f>
        <v>26624</v>
      </c>
      <c r="C818" s="6">
        <f>3^6*37</f>
        <v>26973</v>
      </c>
      <c r="D818" s="13">
        <f t="shared" si="17"/>
        <v>22.546382177753625</v>
      </c>
      <c r="E818" s="61">
        <v>37</v>
      </c>
      <c r="F818" s="65">
        <v>50.965327269293994</v>
      </c>
      <c r="G818" s="6">
        <v>176</v>
      </c>
      <c r="H818" s="6">
        <v>168</v>
      </c>
      <c r="I818" s="65">
        <v>4.6117371083733243</v>
      </c>
      <c r="J818" s="6">
        <f>VLOOKUP($D818,Sheet1!$A$5:$C$192,3,TRUE)</f>
        <v>4</v>
      </c>
      <c r="K818" s="42" t="str">
        <f>VLOOKUP($D818,Sheet1!$A$5:$C$192,2,TRUE)</f>
        <v>/|</v>
      </c>
      <c r="L818" s="6">
        <f>FLOOR(VLOOKUP($D818,Sheet1!$D$5:$F$192,3,TRUE),1)</f>
        <v>9</v>
      </c>
      <c r="M818" s="42" t="str">
        <f>VLOOKUP($D818,Sheet1!$D$5:$F$192,2,TRUE)</f>
        <v>/|</v>
      </c>
      <c r="N818" s="23">
        <f>FLOOR(VLOOKUP($D818,Sheet1!$G$5:$I$192,3,TRUE),1)</f>
        <v>11</v>
      </c>
      <c r="O818" s="42" t="str">
        <f>VLOOKUP($D818,Sheet1!$G$5:$I$192,2,TRUE)</f>
        <v>/|</v>
      </c>
      <c r="P818" s="23">
        <v>1</v>
      </c>
      <c r="Q818" s="43" t="str">
        <f>VLOOKUP($D818,Sheet1!$J$5:$L$192,2,TRUE)</f>
        <v>/|''</v>
      </c>
      <c r="R818" s="23">
        <f>FLOOR(VLOOKUP($D818,Sheet1!$M$5:$O$192,3,TRUE),1)</f>
        <v>46</v>
      </c>
      <c r="S818" s="42" t="str">
        <f>VLOOKUP($D818,Sheet1!$M$5:$O$192,2,TRUE)</f>
        <v>')|~'</v>
      </c>
      <c r="T818" s="117">
        <f>IF(ABS(D818-VLOOKUP($D818,Sheet1!$M$5:$T$192,8,TRUE))&lt;10^-10,"SoCA",D818-VLOOKUP($D818,Sheet1!$M$5:$T$192,8,TRUE))</f>
        <v>8.7953567680333578E-2</v>
      </c>
      <c r="U818" s="109">
        <f>IF(VLOOKUP($D818,Sheet1!$M$5:$U$192,9,TRUE)=0,"",IF(ABS(D818-VLOOKUP($D818,Sheet1!$M$5:$U$192,9,TRUE))&lt;10^-10,"Alt.",D818-VLOOKUP($D818,Sheet1!$M$5:$U$192,9,TRUE)))</f>
        <v>0.11491386288276928</v>
      </c>
      <c r="V818" s="132">
        <f>$D818-Sheet1!$M$3*$R818</f>
        <v>0.10213205477187159</v>
      </c>
      <c r="Z818" s="6"/>
      <c r="AA818" s="61"/>
    </row>
    <row r="819" spans="1:27" ht="13.5">
      <c r="A819" s="6" t="s">
        <v>502</v>
      </c>
      <c r="B819" s="6">
        <f>2^9*5^3</f>
        <v>64000</v>
      </c>
      <c r="C819" s="6">
        <f>3^3*7^4</f>
        <v>64827</v>
      </c>
      <c r="D819" s="13">
        <f t="shared" si="17"/>
        <v>22.227486878157467</v>
      </c>
      <c r="E819" s="61">
        <v>7</v>
      </c>
      <c r="F819" s="65">
        <v>51.716690933463987</v>
      </c>
      <c r="G819" s="6">
        <v>373</v>
      </c>
      <c r="H819" s="6">
        <v>343</v>
      </c>
      <c r="I819" s="65">
        <v>1.6313726537682889</v>
      </c>
      <c r="J819" s="6">
        <f>VLOOKUP($D819,Sheet1!$A$5:$C$192,3,TRUE)</f>
        <v>4</v>
      </c>
      <c r="K819" s="42" t="str">
        <f>VLOOKUP($D819,Sheet1!$A$5:$C$192,2,TRUE)</f>
        <v>/|</v>
      </c>
      <c r="L819" s="6">
        <f>FLOOR(VLOOKUP($D819,Sheet1!$D$5:$F$192,3,TRUE),1)</f>
        <v>9</v>
      </c>
      <c r="M819" s="42" t="str">
        <f>VLOOKUP($D819,Sheet1!$D$5:$F$192,2,TRUE)</f>
        <v>/|</v>
      </c>
      <c r="N819" s="23">
        <f>FLOOR(VLOOKUP($D819,Sheet1!$G$5:$I$192,3,TRUE),1)</f>
        <v>11</v>
      </c>
      <c r="O819" s="42" t="str">
        <f>VLOOKUP($D819,Sheet1!$G$5:$I$192,2,TRUE)</f>
        <v>/|</v>
      </c>
      <c r="P819" s="23">
        <v>1</v>
      </c>
      <c r="Q819" s="43" t="str">
        <f>VLOOKUP($D819,Sheet1!$J$5:$L$192,2,TRUE)</f>
        <v>/|''</v>
      </c>
      <c r="R819" s="23">
        <f>FLOOR(VLOOKUP($D819,Sheet1!$M$5:$O$192,3,TRUE),1)</f>
        <v>46</v>
      </c>
      <c r="S819" s="42" t="str">
        <f>VLOOKUP($D819,Sheet1!$M$5:$O$192,2,TRUE)</f>
        <v>/|''</v>
      </c>
      <c r="T819" s="117">
        <f>IF(ABS(D819-VLOOKUP($D819,Sheet1!$M$5:$T$192,8,TRUE))&lt;10^-10,"SoCA",D819-VLOOKUP($D819,Sheet1!$M$5:$T$192,8,TRUE))</f>
        <v>-0.11132692265891109</v>
      </c>
      <c r="U819" s="109">
        <f>IF(VLOOKUP($D819,Sheet1!$M$5:$U$192,9,TRUE)=0,"",IF(ABS(D819-VLOOKUP($D819,Sheet1!$M$5:$U$192,9,TRUE))&lt;10^-10,"Alt.",D819-VLOOKUP($D819,Sheet1!$M$5:$U$192,9,TRUE)))</f>
        <v>-9.7274755264454171E-2</v>
      </c>
      <c r="V819" s="132">
        <f>$D819-Sheet1!$M$3*$R819</f>
        <v>-0.21676324482428555</v>
      </c>
      <c r="Z819" s="6"/>
      <c r="AA819" s="61"/>
    </row>
    <row r="820" spans="1:27" ht="13.5">
      <c r="A820" t="s">
        <v>718</v>
      </c>
      <c r="B820">
        <v>278528</v>
      </c>
      <c r="C820">
        <v>282123</v>
      </c>
      <c r="D820" s="13">
        <f t="shared" si="17"/>
        <v>22.202303065209534</v>
      </c>
      <c r="E820" s="61">
        <v>43</v>
      </c>
      <c r="F820" s="65">
        <v>64.049689147968976</v>
      </c>
      <c r="G820" s="6">
        <v>585</v>
      </c>
      <c r="H820" s="6">
        <v>563</v>
      </c>
      <c r="I820" s="65">
        <v>6.6329233128811191</v>
      </c>
      <c r="J820" s="6">
        <f>VLOOKUP($D820,Sheet1!$A$5:$C$192,3,TRUE)</f>
        <v>4</v>
      </c>
      <c r="K820" s="42" t="str">
        <f>VLOOKUP($D820,Sheet1!$A$5:$C$192,2,TRUE)</f>
        <v>/|</v>
      </c>
      <c r="L820" s="6">
        <f>FLOOR(VLOOKUP($D820,Sheet1!$D$5:$F$192,3,TRUE),1)</f>
        <v>9</v>
      </c>
      <c r="M820" s="42" t="str">
        <f>VLOOKUP($D820,Sheet1!$D$5:$F$192,2,TRUE)</f>
        <v>/|</v>
      </c>
      <c r="N820" s="23">
        <f>FLOOR(VLOOKUP($D820,Sheet1!$G$5:$I$192,3,TRUE),1)</f>
        <v>11</v>
      </c>
      <c r="O820" s="42" t="str">
        <f>VLOOKUP($D820,Sheet1!$G$5:$I$192,2,TRUE)</f>
        <v>/|</v>
      </c>
      <c r="P820" s="23">
        <v>1</v>
      </c>
      <c r="Q820" s="43" t="str">
        <f>VLOOKUP($D820,Sheet1!$J$5:$L$192,2,TRUE)</f>
        <v>/|''</v>
      </c>
      <c r="R820" s="23">
        <f>FLOOR(VLOOKUP($D820,Sheet1!$M$5:$O$192,3,TRUE),1)</f>
        <v>46</v>
      </c>
      <c r="S820" s="42" t="str">
        <f>VLOOKUP($D820,Sheet1!$M$5:$O$192,2,TRUE)</f>
        <v>/|''</v>
      </c>
      <c r="T820" s="117">
        <f>IF(ABS(D820-VLOOKUP($D820,Sheet1!$M$5:$T$192,8,TRUE))&lt;10^-10,"SoCA",D820-VLOOKUP($D820,Sheet1!$M$5:$T$192,8,TRUE))</f>
        <v>-0.13651073560684424</v>
      </c>
      <c r="U820" s="109">
        <f>IF(VLOOKUP($D820,Sheet1!$M$5:$U$192,9,TRUE)=0,"",IF(ABS(D820-VLOOKUP($D820,Sheet1!$M$5:$U$192,9,TRUE))&lt;10^-10,"Alt.",D820-VLOOKUP($D820,Sheet1!$M$5:$U$192,9,TRUE)))</f>
        <v>-0.12245856821238732</v>
      </c>
      <c r="V820" s="132">
        <f>$D820-Sheet1!$M$3*$R820</f>
        <v>-0.2419470577722187</v>
      </c>
      <c r="Z820" s="6"/>
      <c r="AA820" s="61"/>
    </row>
    <row r="821" spans="1:27" ht="13.5">
      <c r="A821" t="s">
        <v>1576</v>
      </c>
      <c r="B821">
        <v>5537792</v>
      </c>
      <c r="C821">
        <v>5609655</v>
      </c>
      <c r="D821" s="13">
        <f t="shared" si="17"/>
        <v>22.32141511239038</v>
      </c>
      <c r="E821" s="61">
        <v>19</v>
      </c>
      <c r="F821" s="65">
        <v>65.486426698595821</v>
      </c>
      <c r="G821" s="6">
        <v>1483</v>
      </c>
      <c r="H821" s="6">
        <v>1425</v>
      </c>
      <c r="I821" s="65">
        <v>8.6255891501873805</v>
      </c>
      <c r="J821" s="6">
        <f>VLOOKUP($D821,Sheet1!$A$5:$C$192,3,TRUE)</f>
        <v>4</v>
      </c>
      <c r="K821" s="42" t="str">
        <f>VLOOKUP($D821,Sheet1!$A$5:$C$192,2,TRUE)</f>
        <v>/|</v>
      </c>
      <c r="L821" s="6">
        <f>FLOOR(VLOOKUP($D821,Sheet1!$D$5:$F$192,3,TRUE),1)</f>
        <v>9</v>
      </c>
      <c r="M821" s="42" t="str">
        <f>VLOOKUP($D821,Sheet1!$D$5:$F$192,2,TRUE)</f>
        <v>/|</v>
      </c>
      <c r="N821" s="23">
        <f>FLOOR(VLOOKUP($D821,Sheet1!$G$5:$I$192,3,TRUE),1)</f>
        <v>11</v>
      </c>
      <c r="O821" s="42" t="str">
        <f>VLOOKUP($D821,Sheet1!$G$5:$I$192,2,TRUE)</f>
        <v>/|</v>
      </c>
      <c r="P821" s="23">
        <v>1</v>
      </c>
      <c r="Q821" s="43" t="str">
        <f>VLOOKUP($D821,Sheet1!$J$5:$L$192,2,TRUE)</f>
        <v>/|''</v>
      </c>
      <c r="R821" s="23">
        <f>FLOOR(VLOOKUP($D821,Sheet1!$M$5:$O$192,3,TRUE),1)</f>
        <v>46</v>
      </c>
      <c r="S821" s="42" t="str">
        <f>VLOOKUP($D821,Sheet1!$M$5:$O$192,2,TRUE)</f>
        <v>/|''</v>
      </c>
      <c r="T821" s="117">
        <f>IF(ABS(D821-VLOOKUP($D821,Sheet1!$M$5:$T$192,8,TRUE))&lt;10^-10,"SoCA",D821-VLOOKUP($D821,Sheet1!$M$5:$T$192,8,TRUE))</f>
        <v>-1.7398688425998898E-2</v>
      </c>
      <c r="U821" s="109">
        <f>IF(VLOOKUP($D821,Sheet1!$M$5:$U$192,9,TRUE)=0,"",IF(ABS(D821-VLOOKUP($D821,Sheet1!$M$5:$U$192,9,TRUE))&lt;10^-10,"Alt.",D821-VLOOKUP($D821,Sheet1!$M$5:$U$192,9,TRUE)))</f>
        <v>-3.3465210315419824E-3</v>
      </c>
      <c r="V821" s="132">
        <f>$D821-Sheet1!$M$3*$R821</f>
        <v>-0.12283501059137336</v>
      </c>
      <c r="Z821" s="6"/>
      <c r="AA821" s="61"/>
    </row>
    <row r="822" spans="1:27" ht="13.5">
      <c r="A822" t="s">
        <v>677</v>
      </c>
      <c r="B822">
        <v>387</v>
      </c>
      <c r="C822">
        <v>392</v>
      </c>
      <c r="D822" s="13">
        <f t="shared" si="17"/>
        <v>22.224105564957412</v>
      </c>
      <c r="E822" s="61">
        <v>43</v>
      </c>
      <c r="F822" s="65">
        <v>68.561366511368519</v>
      </c>
      <c r="G822" s="6">
        <v>567</v>
      </c>
      <c r="H822" s="6">
        <v>522</v>
      </c>
      <c r="I822" s="65">
        <v>-3.3684191464591891</v>
      </c>
      <c r="J822" s="6">
        <f>VLOOKUP($D822,Sheet1!$A$5:$C$192,3,TRUE)</f>
        <v>4</v>
      </c>
      <c r="K822" s="42" t="str">
        <f>VLOOKUP($D822,Sheet1!$A$5:$C$192,2,TRUE)</f>
        <v>/|</v>
      </c>
      <c r="L822" s="6">
        <f>FLOOR(VLOOKUP($D822,Sheet1!$D$5:$F$192,3,TRUE),1)</f>
        <v>9</v>
      </c>
      <c r="M822" s="42" t="str">
        <f>VLOOKUP($D822,Sheet1!$D$5:$F$192,2,TRUE)</f>
        <v>/|</v>
      </c>
      <c r="N822" s="23">
        <f>FLOOR(VLOOKUP($D822,Sheet1!$G$5:$I$192,3,TRUE),1)</f>
        <v>11</v>
      </c>
      <c r="O822" s="42" t="str">
        <f>VLOOKUP($D822,Sheet1!$G$5:$I$192,2,TRUE)</f>
        <v>/|</v>
      </c>
      <c r="P822" s="23">
        <v>1</v>
      </c>
      <c r="Q822" s="43" t="str">
        <f>VLOOKUP($D822,Sheet1!$J$5:$L$192,2,TRUE)</f>
        <v>/|''</v>
      </c>
      <c r="R822" s="23">
        <f>FLOOR(VLOOKUP($D822,Sheet1!$M$5:$O$192,3,TRUE),1)</f>
        <v>46</v>
      </c>
      <c r="S822" s="42" t="str">
        <f>VLOOKUP($D822,Sheet1!$M$5:$O$192,2,TRUE)</f>
        <v>/|''</v>
      </c>
      <c r="T822" s="117">
        <f>IF(ABS(D822-VLOOKUP($D822,Sheet1!$M$5:$T$192,8,TRUE))&lt;10^-10,"SoCA",D822-VLOOKUP($D822,Sheet1!$M$5:$T$192,8,TRUE))</f>
        <v>-0.11470823585896639</v>
      </c>
      <c r="U822" s="109">
        <f>IF(VLOOKUP($D822,Sheet1!$M$5:$U$192,9,TRUE)=0,"",IF(ABS(D822-VLOOKUP($D822,Sheet1!$M$5:$U$192,9,TRUE))&lt;10^-10,"Alt.",D822-VLOOKUP($D822,Sheet1!$M$5:$U$192,9,TRUE)))</f>
        <v>-0.10065606846450947</v>
      </c>
      <c r="V822" s="132">
        <f>$D822-Sheet1!$M$3*$R822</f>
        <v>-0.22014455802434085</v>
      </c>
      <c r="Z822" s="6"/>
      <c r="AA822" s="61"/>
    </row>
    <row r="823" spans="1:27" ht="13.5">
      <c r="A823" t="s">
        <v>1575</v>
      </c>
      <c r="B823">
        <v>757760</v>
      </c>
      <c r="C823">
        <v>767637</v>
      </c>
      <c r="D823" s="13">
        <f t="shared" si="17"/>
        <v>22.419917803610129</v>
      </c>
      <c r="E823" s="61">
        <v>37</v>
      </c>
      <c r="F823" s="65">
        <v>81.827751159535524</v>
      </c>
      <c r="G823" s="6">
        <v>1482</v>
      </c>
      <c r="H823" s="6">
        <v>1424</v>
      </c>
      <c r="I823" s="65">
        <v>8.6195239806241375</v>
      </c>
      <c r="J823" s="6">
        <f>VLOOKUP($D823,Sheet1!$A$5:$C$192,3,TRUE)</f>
        <v>4</v>
      </c>
      <c r="K823" s="42" t="str">
        <f>VLOOKUP($D823,Sheet1!$A$5:$C$192,2,TRUE)</f>
        <v>/|</v>
      </c>
      <c r="L823" s="6">
        <f>FLOOR(VLOOKUP($D823,Sheet1!$D$5:$F$192,3,TRUE),1)</f>
        <v>9</v>
      </c>
      <c r="M823" s="42" t="str">
        <f>VLOOKUP($D823,Sheet1!$D$5:$F$192,2,TRUE)</f>
        <v>/|</v>
      </c>
      <c r="N823" s="23">
        <f>FLOOR(VLOOKUP($D823,Sheet1!$G$5:$I$192,3,TRUE),1)</f>
        <v>11</v>
      </c>
      <c r="O823" s="42" t="str">
        <f>VLOOKUP($D823,Sheet1!$G$5:$I$192,2,TRUE)</f>
        <v>/|</v>
      </c>
      <c r="P823" s="23">
        <v>1</v>
      </c>
      <c r="Q823" s="43" t="str">
        <f>VLOOKUP($D823,Sheet1!$J$5:$L$192,2,TRUE)</f>
        <v>/|''</v>
      </c>
      <c r="R823" s="23">
        <f>FLOOR(VLOOKUP($D823,Sheet1!$M$5:$O$192,3,TRUE),1)</f>
        <v>46</v>
      </c>
      <c r="S823" s="42" t="str">
        <f>VLOOKUP($D823,Sheet1!$M$5:$O$192,2,TRUE)</f>
        <v>')|~'</v>
      </c>
      <c r="T823" s="117">
        <f>IF(ABS(D823-VLOOKUP($D823,Sheet1!$M$5:$T$192,8,TRUE))&lt;10^-10,"SoCA",D823-VLOOKUP($D823,Sheet1!$M$5:$T$192,8,TRUE))</f>
        <v>-3.8510806463161629E-2</v>
      </c>
      <c r="U823" s="109">
        <f>IF(VLOOKUP($D823,Sheet1!$M$5:$U$192,9,TRUE)=0,"",IF(ABS(D823-VLOOKUP($D823,Sheet1!$M$5:$U$192,9,TRUE))&lt;10^-10,"Alt.",D823-VLOOKUP($D823,Sheet1!$M$5:$U$192,9,TRUE)))</f>
        <v>-1.1550511260725926E-2</v>
      </c>
      <c r="V823" s="132">
        <f>$D823-Sheet1!$M$3*$R823</f>
        <v>-2.4332319371623612E-2</v>
      </c>
      <c r="Z823" s="6"/>
      <c r="AA823" s="61"/>
    </row>
    <row r="824" spans="1:27" ht="13.5">
      <c r="A824" s="6" t="s">
        <v>375</v>
      </c>
      <c r="B824" s="6">
        <f>3^3*31</f>
        <v>837</v>
      </c>
      <c r="C824" s="6">
        <f>2^4*53</f>
        <v>848</v>
      </c>
      <c r="D824" s="13">
        <f t="shared" si="17"/>
        <v>22.603970415426659</v>
      </c>
      <c r="E824" s="61" t="s">
        <v>1931</v>
      </c>
      <c r="F824" s="65">
        <v>84.356710788036665</v>
      </c>
      <c r="G824" s="6">
        <v>221</v>
      </c>
      <c r="H824" s="6">
        <v>210</v>
      </c>
      <c r="I824" s="65">
        <v>-4.3918088092255774</v>
      </c>
      <c r="J824" s="6">
        <f>VLOOKUP($D824,Sheet1!$A$5:$C$192,3,TRUE)</f>
        <v>4</v>
      </c>
      <c r="K824" s="42" t="str">
        <f>VLOOKUP($D824,Sheet1!$A$5:$C$192,2,TRUE)</f>
        <v>/|</v>
      </c>
      <c r="L824" s="6">
        <f>FLOOR(VLOOKUP($D824,Sheet1!$D$5:$F$192,3,TRUE),1)</f>
        <v>9</v>
      </c>
      <c r="M824" s="42" t="str">
        <f>VLOOKUP($D824,Sheet1!$D$5:$F$192,2,TRUE)</f>
        <v>/|</v>
      </c>
      <c r="N824" s="23">
        <f>FLOOR(VLOOKUP($D824,Sheet1!$G$5:$I$192,3,TRUE),1)</f>
        <v>11</v>
      </c>
      <c r="O824" s="42" t="str">
        <f>VLOOKUP($D824,Sheet1!$G$5:$I$192,2,TRUE)</f>
        <v>/|</v>
      </c>
      <c r="P824" s="23">
        <v>1</v>
      </c>
      <c r="Q824" s="43" t="str">
        <f>VLOOKUP($D824,Sheet1!$J$5:$L$192,2,TRUE)</f>
        <v>/|''</v>
      </c>
      <c r="R824" s="23">
        <f>FLOOR(VLOOKUP($D824,Sheet1!$M$5:$O$192,3,TRUE),1)</f>
        <v>46</v>
      </c>
      <c r="S824" s="42" t="str">
        <f>VLOOKUP($D824,Sheet1!$M$5:$O$192,2,TRUE)</f>
        <v>')|~'</v>
      </c>
      <c r="T824" s="117">
        <f>IF(ABS(D824-VLOOKUP($D824,Sheet1!$M$5:$T$192,8,TRUE))&lt;10^-10,"SoCA",D824-VLOOKUP($D824,Sheet1!$M$5:$T$192,8,TRUE))</f>
        <v>0.14554180535336769</v>
      </c>
      <c r="U824" s="109">
        <f>IF(VLOOKUP($D824,Sheet1!$M$5:$U$192,9,TRUE)=0,"",IF(ABS(D824-VLOOKUP($D824,Sheet1!$M$5:$U$192,9,TRUE))&lt;10^-10,"Alt.",D824-VLOOKUP($D824,Sheet1!$M$5:$U$192,9,TRUE)))</f>
        <v>0.17250210055580339</v>
      </c>
      <c r="V824" s="132">
        <f>$D824-Sheet1!$M$3*$R824</f>
        <v>0.15972029244490571</v>
      </c>
      <c r="Z824" s="6"/>
      <c r="AA824" s="61"/>
    </row>
    <row r="825" spans="1:27" ht="13.5">
      <c r="A825" t="s">
        <v>1666</v>
      </c>
      <c r="B825">
        <v>347733</v>
      </c>
      <c r="C825">
        <v>352256</v>
      </c>
      <c r="D825" s="13">
        <f t="shared" si="17"/>
        <v>22.373153243579296</v>
      </c>
      <c r="E825" s="61" t="s">
        <v>1931</v>
      </c>
      <c r="F825" s="65">
        <v>107.66607689086106</v>
      </c>
      <c r="G825" s="6">
        <v>1575</v>
      </c>
      <c r="H825" s="6">
        <v>1515</v>
      </c>
      <c r="I825" s="65">
        <v>-9.3775965550421958</v>
      </c>
      <c r="J825" s="6">
        <f>VLOOKUP($D825,Sheet1!$A$5:$C$192,3,TRUE)</f>
        <v>4</v>
      </c>
      <c r="K825" s="42" t="str">
        <f>VLOOKUP($D825,Sheet1!$A$5:$C$192,2,TRUE)</f>
        <v>/|</v>
      </c>
      <c r="L825" s="6">
        <f>FLOOR(VLOOKUP($D825,Sheet1!$D$5:$F$192,3,TRUE),1)</f>
        <v>9</v>
      </c>
      <c r="M825" s="42" t="str">
        <f>VLOOKUP($D825,Sheet1!$D$5:$F$192,2,TRUE)</f>
        <v>/|</v>
      </c>
      <c r="N825" s="23">
        <f>FLOOR(VLOOKUP($D825,Sheet1!$G$5:$I$192,3,TRUE),1)</f>
        <v>11</v>
      </c>
      <c r="O825" s="42" t="str">
        <f>VLOOKUP($D825,Sheet1!$G$5:$I$192,2,TRUE)</f>
        <v>/|</v>
      </c>
      <c r="P825" s="23">
        <v>1</v>
      </c>
      <c r="Q825" s="43" t="str">
        <f>VLOOKUP($D825,Sheet1!$J$5:$L$192,2,TRUE)</f>
        <v>/|''</v>
      </c>
      <c r="R825" s="23">
        <f>FLOOR(VLOOKUP($D825,Sheet1!$M$5:$O$192,3,TRUE),1)</f>
        <v>46</v>
      </c>
      <c r="S825" s="42" t="str">
        <f>VLOOKUP($D825,Sheet1!$M$5:$O$192,2,TRUE)</f>
        <v>')|~'</v>
      </c>
      <c r="T825" s="117">
        <f>IF(ABS(D825-VLOOKUP($D825,Sheet1!$M$5:$T$192,8,TRUE))&lt;10^-10,"SoCA",D825-VLOOKUP($D825,Sheet1!$M$5:$T$192,8,TRUE))</f>
        <v>-8.5275366493995364E-2</v>
      </c>
      <c r="U825" s="109">
        <f>IF(VLOOKUP($D825,Sheet1!$M$5:$U$192,9,TRUE)=0,"",IF(ABS(D825-VLOOKUP($D825,Sheet1!$M$5:$U$192,9,TRUE))&lt;10^-10,"Alt.",D825-VLOOKUP($D825,Sheet1!$M$5:$U$192,9,TRUE)))</f>
        <v>-5.8315071291559661E-2</v>
      </c>
      <c r="V825" s="132">
        <f>$D825-Sheet1!$M$3*$R825</f>
        <v>-7.1096879402457347E-2</v>
      </c>
      <c r="Z825" s="6"/>
      <c r="AA825" s="61"/>
    </row>
    <row r="826" spans="1:27" ht="13.5">
      <c r="A826" t="s">
        <v>743</v>
      </c>
      <c r="B826">
        <v>992</v>
      </c>
      <c r="C826">
        <v>1005</v>
      </c>
      <c r="D826" s="13">
        <f t="shared" si="17"/>
        <v>22.540170815299025</v>
      </c>
      <c r="E826" s="61" t="s">
        <v>1931</v>
      </c>
      <c r="F826" s="65">
        <v>123.64252994956968</v>
      </c>
      <c r="G826" s="6">
        <v>645</v>
      </c>
      <c r="H826" s="6">
        <v>588</v>
      </c>
      <c r="I826" s="65">
        <v>-0.38788043541112094</v>
      </c>
      <c r="J826" s="6">
        <f>VLOOKUP($D826,Sheet1!$A$5:$C$192,3,TRUE)</f>
        <v>4</v>
      </c>
      <c r="K826" s="42" t="str">
        <f>VLOOKUP($D826,Sheet1!$A$5:$C$192,2,TRUE)</f>
        <v>/|</v>
      </c>
      <c r="L826" s="6">
        <f>FLOOR(VLOOKUP($D826,Sheet1!$D$5:$F$192,3,TRUE),1)</f>
        <v>9</v>
      </c>
      <c r="M826" s="42" t="str">
        <f>VLOOKUP($D826,Sheet1!$D$5:$F$192,2,TRUE)</f>
        <v>/|</v>
      </c>
      <c r="N826" s="23">
        <f>FLOOR(VLOOKUP($D826,Sheet1!$G$5:$I$192,3,TRUE),1)</f>
        <v>11</v>
      </c>
      <c r="O826" s="42" t="str">
        <f>VLOOKUP($D826,Sheet1!$G$5:$I$192,2,TRUE)</f>
        <v>/|</v>
      </c>
      <c r="P826" s="23">
        <v>1</v>
      </c>
      <c r="Q826" s="43" t="str">
        <f>VLOOKUP($D826,Sheet1!$J$5:$L$192,2,TRUE)</f>
        <v>/|''</v>
      </c>
      <c r="R826" s="23">
        <f>FLOOR(VLOOKUP($D826,Sheet1!$M$5:$O$192,3,TRUE),1)</f>
        <v>46</v>
      </c>
      <c r="S826" s="42" t="str">
        <f>VLOOKUP($D826,Sheet1!$M$5:$O$192,2,TRUE)</f>
        <v>')|~'</v>
      </c>
      <c r="T826" s="117">
        <f>IF(ABS(D826-VLOOKUP($D826,Sheet1!$M$5:$T$192,8,TRUE))&lt;10^-10,"SoCA",D826-VLOOKUP($D826,Sheet1!$M$5:$T$192,8,TRUE))</f>
        <v>8.17422052257335E-2</v>
      </c>
      <c r="U826" s="109">
        <f>IF(VLOOKUP($D826,Sheet1!$M$5:$U$192,9,TRUE)=0,"",IF(ABS(D826-VLOOKUP($D826,Sheet1!$M$5:$U$192,9,TRUE))&lt;10^-10,"Alt.",D826-VLOOKUP($D826,Sheet1!$M$5:$U$192,9,TRUE)))</f>
        <v>0.1087025004281692</v>
      </c>
      <c r="V826" s="132">
        <f>$D826-Sheet1!$M$3*$R826</f>
        <v>9.5920692317271516E-2</v>
      </c>
      <c r="Z826" s="6"/>
      <c r="AA826" s="61"/>
    </row>
    <row r="827" spans="1:27" ht="13.5">
      <c r="A827" t="s">
        <v>882</v>
      </c>
      <c r="B827">
        <v>827104</v>
      </c>
      <c r="C827">
        <v>837837</v>
      </c>
      <c r="D827" s="13">
        <f t="shared" si="17"/>
        <v>22.321022126454185</v>
      </c>
      <c r="E827" s="61" t="s">
        <v>1931</v>
      </c>
      <c r="F827" s="65">
        <v>41454.711176450815</v>
      </c>
      <c r="G827" s="6">
        <v>792</v>
      </c>
      <c r="H827" s="6">
        <v>729</v>
      </c>
      <c r="I827" s="65">
        <v>1.6256133477631975</v>
      </c>
      <c r="J827" s="6">
        <f>VLOOKUP($D827,Sheet1!$A$5:$C$192,3,TRUE)</f>
        <v>4</v>
      </c>
      <c r="K827" s="42" t="str">
        <f>VLOOKUP($D827,Sheet1!$A$5:$C$192,2,TRUE)</f>
        <v>/|</v>
      </c>
      <c r="L827" s="6">
        <f>FLOOR(VLOOKUP($D827,Sheet1!$D$5:$F$192,3,TRUE),1)</f>
        <v>9</v>
      </c>
      <c r="M827" s="42" t="str">
        <f>VLOOKUP($D827,Sheet1!$D$5:$F$192,2,TRUE)</f>
        <v>/|</v>
      </c>
      <c r="N827" s="23">
        <f>FLOOR(VLOOKUP($D827,Sheet1!$G$5:$I$192,3,TRUE),1)</f>
        <v>11</v>
      </c>
      <c r="O827" s="42" t="str">
        <f>VLOOKUP($D827,Sheet1!$G$5:$I$192,2,TRUE)</f>
        <v>/|</v>
      </c>
      <c r="P827" s="23">
        <v>1</v>
      </c>
      <c r="Q827" s="43" t="str">
        <f>VLOOKUP($D827,Sheet1!$J$5:$L$192,2,TRUE)</f>
        <v>/|''</v>
      </c>
      <c r="R827" s="23">
        <f>FLOOR(VLOOKUP($D827,Sheet1!$M$5:$O$192,3,TRUE),1)</f>
        <v>46</v>
      </c>
      <c r="S827" s="42" t="str">
        <f>VLOOKUP($D827,Sheet1!$M$5:$O$192,2,TRUE)</f>
        <v>/|''</v>
      </c>
      <c r="T827" s="117">
        <f>IF(ABS(D827-VLOOKUP($D827,Sheet1!$M$5:$T$192,8,TRUE))&lt;10^-10,"SoCA",D827-VLOOKUP($D827,Sheet1!$M$5:$T$192,8,TRUE))</f>
        <v>-1.7791674362193532E-2</v>
      </c>
      <c r="U827" s="109">
        <f>IF(VLOOKUP($D827,Sheet1!$M$5:$U$192,9,TRUE)=0,"",IF(ABS(D827-VLOOKUP($D827,Sheet1!$M$5:$U$192,9,TRUE))&lt;10^-10,"Alt.",D827-VLOOKUP($D827,Sheet1!$M$5:$U$192,9,TRUE)))</f>
        <v>-3.7395069677366166E-3</v>
      </c>
      <c r="V827" s="132">
        <f>$D827-Sheet1!$M$3*$R827</f>
        <v>-0.123227996527568</v>
      </c>
      <c r="Z827" s="6"/>
      <c r="AA827" s="61"/>
    </row>
    <row r="828" spans="1:27" ht="13.5">
      <c r="A828" s="39" t="s">
        <v>96</v>
      </c>
      <c r="B828" s="39">
        <f>3*5^2</f>
        <v>75</v>
      </c>
      <c r="C828" s="39">
        <f>2^2*19</f>
        <v>76</v>
      </c>
      <c r="D828" s="13">
        <f t="shared" si="17"/>
        <v>22.930587537245689</v>
      </c>
      <c r="E828" s="61">
        <v>19</v>
      </c>
      <c r="F828" s="65">
        <v>34.8694484855152</v>
      </c>
      <c r="G828" s="6">
        <v>122</v>
      </c>
      <c r="H828" s="6">
        <v>108</v>
      </c>
      <c r="I828" s="65">
        <v>-2.411919815346935</v>
      </c>
      <c r="J828" s="6">
        <f>VLOOKUP($D828,Sheet1!$A$5:$C$192,3,TRUE)</f>
        <v>4</v>
      </c>
      <c r="K828" s="42" t="str">
        <f>VLOOKUP($D828,Sheet1!$A$5:$C$192,2,TRUE)</f>
        <v>/|</v>
      </c>
      <c r="L828" s="6">
        <f>FLOOR(VLOOKUP($D828,Sheet1!$D$5:$F$192,3,TRUE),1)</f>
        <v>10</v>
      </c>
      <c r="M828" s="42" t="str">
        <f>VLOOKUP($D828,Sheet1!$D$5:$F$192,2,TRUE)</f>
        <v>)/|</v>
      </c>
      <c r="N828" s="39">
        <f>FLOOR(VLOOKUP($D828,Sheet1!$G$5:$I$192,3,TRUE),1)</f>
        <v>12</v>
      </c>
      <c r="O828" s="44" t="str">
        <f>VLOOKUP($D828,Sheet1!$G$5:$I$192,2,TRUE)</f>
        <v>.)/|</v>
      </c>
      <c r="P828" s="39">
        <v>1</v>
      </c>
      <c r="Q828" s="44" t="str">
        <f>VLOOKUP($D828,Sheet1!$J$5:$L$192,2,TRUE)</f>
        <v>.)/|</v>
      </c>
      <c r="R828" s="39">
        <f>FLOOR(VLOOKUP($D828,Sheet1!$M$5:$O$192,3,TRUE),1)</f>
        <v>47</v>
      </c>
      <c r="S828" s="44" t="str">
        <f>VLOOKUP($D828,Sheet1!$M$5:$O$192,2,TRUE)</f>
        <v>.)/|</v>
      </c>
      <c r="T828" s="113" t="str">
        <f>IF(ABS(D828-VLOOKUP($D828,Sheet1!$M$5:$T$192,8,TRUE))&lt;10^-10,"SoCA",D828-VLOOKUP($D828,Sheet1!$M$5:$T$192,8,TRUE))</f>
        <v>SoCA</v>
      </c>
      <c r="U828" s="118" t="str">
        <f>IF(VLOOKUP($D828,Sheet1!$M$5:$U$192,9,TRUE)=0,"",IF(ABS(D828-VLOOKUP($D828,Sheet1!$M$5:$U$192,9,TRUE))&lt;10^-10,"Alt.",D828-VLOOKUP($D828,Sheet1!$M$5:$U$192,9,TRUE)))</f>
        <v/>
      </c>
      <c r="V828" s="136">
        <f>$D828-Sheet1!$M$3*$R828</f>
        <v>-1.5810666704503262E-3</v>
      </c>
      <c r="Z828" s="6"/>
      <c r="AA828" s="61"/>
    </row>
    <row r="829" spans="1:27" ht="13.5">
      <c r="A829" s="23" t="s">
        <v>1186</v>
      </c>
      <c r="B829" s="23">
        <f>3^9*23</f>
        <v>452709</v>
      </c>
      <c r="C829" s="23">
        <f>2^16*7</f>
        <v>458752</v>
      </c>
      <c r="D829" s="13">
        <f t="shared" si="17"/>
        <v>22.95655141222273</v>
      </c>
      <c r="E829" s="61">
        <v>23</v>
      </c>
      <c r="F829" s="65">
        <v>47.957645203265486</v>
      </c>
      <c r="G829" s="59">
        <v>247</v>
      </c>
      <c r="H829" s="59">
        <v>1035</v>
      </c>
      <c r="I829" s="65">
        <v>-10.413518505720818</v>
      </c>
      <c r="J829" s="6">
        <f>VLOOKUP($D829,Sheet1!$A$5:$C$192,3,TRUE)</f>
        <v>4</v>
      </c>
      <c r="K829" s="42" t="str">
        <f>VLOOKUP($D829,Sheet1!$A$5:$C$192,2,TRUE)</f>
        <v>/|</v>
      </c>
      <c r="L829" s="6">
        <f>FLOOR(VLOOKUP($D829,Sheet1!$D$5:$F$192,3,TRUE),1)</f>
        <v>10</v>
      </c>
      <c r="M829" s="42" t="str">
        <f>VLOOKUP($D829,Sheet1!$D$5:$F$192,2,TRUE)</f>
        <v>)/|</v>
      </c>
      <c r="N829" s="23">
        <f>FLOOR(VLOOKUP($D829,Sheet1!$G$5:$I$192,3,TRUE),1)</f>
        <v>12</v>
      </c>
      <c r="O829" s="42" t="str">
        <f>VLOOKUP($D829,Sheet1!$G$5:$I$192,2,TRUE)</f>
        <v>.)/|</v>
      </c>
      <c r="P829" s="23">
        <v>1</v>
      </c>
      <c r="Q829" s="43" t="str">
        <f>VLOOKUP($D829,Sheet1!$J$5:$L$192,2,TRUE)</f>
        <v>.)/|</v>
      </c>
      <c r="R829" s="23">
        <f>FLOOR(VLOOKUP($D829,Sheet1!$M$5:$O$192,3,TRUE),1)</f>
        <v>47</v>
      </c>
      <c r="S829" s="43" t="str">
        <f>VLOOKUP($D829,Sheet1!$M$5:$O$192,2,TRUE)</f>
        <v>.)/|</v>
      </c>
      <c r="T829" s="117">
        <f>IF(ABS(D829-VLOOKUP($D829,Sheet1!$M$5:$T$192,8,TRUE))&lt;10^-10,"SoCA",D829-VLOOKUP($D829,Sheet1!$M$5:$T$192,8,TRUE))</f>
        <v>2.5963874977115609E-2</v>
      </c>
      <c r="U829" s="117" t="str">
        <f>IF(VLOOKUP($D829,Sheet1!$M$5:$U$192,9,TRUE)=0,"",IF(ABS(D829-VLOOKUP($D829,Sheet1!$M$5:$U$192,9,TRUE))&lt;10^-10,"Alt.",D829-VLOOKUP($D829,Sheet1!$M$5:$U$192,9,TRUE)))</f>
        <v/>
      </c>
      <c r="V829" s="132">
        <f>$D829-Sheet1!$M$3*$R829</f>
        <v>2.4382808306590675E-2</v>
      </c>
      <c r="Z829" s="6"/>
      <c r="AA829" s="61"/>
    </row>
    <row r="830" spans="1:27" ht="13.5">
      <c r="A830" t="s">
        <v>728</v>
      </c>
      <c r="B830">
        <v>505197</v>
      </c>
      <c r="C830">
        <v>512000</v>
      </c>
      <c r="D830" s="13">
        <f t="shared" si="17"/>
        <v>23.157285837523474</v>
      </c>
      <c r="E830" s="61">
        <v>11</v>
      </c>
      <c r="F830" s="65">
        <v>48.868605676947517</v>
      </c>
      <c r="G830" s="6">
        <v>424</v>
      </c>
      <c r="H830" s="6">
        <v>573</v>
      </c>
      <c r="I830" s="65">
        <v>-9.4258784556019126</v>
      </c>
      <c r="J830" s="6">
        <f>VLOOKUP($D830,Sheet1!$A$5:$C$192,3,TRUE)</f>
        <v>4</v>
      </c>
      <c r="K830" s="42" t="str">
        <f>VLOOKUP($D830,Sheet1!$A$5:$C$192,2,TRUE)</f>
        <v>/|</v>
      </c>
      <c r="L830" s="6">
        <f>FLOOR(VLOOKUP($D830,Sheet1!$D$5:$F$192,3,TRUE),1)</f>
        <v>10</v>
      </c>
      <c r="M830" s="42" t="str">
        <f>VLOOKUP($D830,Sheet1!$D$5:$F$192,2,TRUE)</f>
        <v>)/|</v>
      </c>
      <c r="N830" s="23">
        <f>FLOOR(VLOOKUP($D830,Sheet1!$G$5:$I$192,3,TRUE),1)</f>
        <v>12</v>
      </c>
      <c r="O830" s="42" t="str">
        <f>VLOOKUP($D830,Sheet1!$G$5:$I$192,2,TRUE)</f>
        <v>.)/|</v>
      </c>
      <c r="P830" s="23">
        <v>1</v>
      </c>
      <c r="Q830" s="43" t="str">
        <f>VLOOKUP($D830,Sheet1!$J$5:$L$192,2,TRUE)</f>
        <v>.)/|</v>
      </c>
      <c r="R830" s="23">
        <f>FLOOR(VLOOKUP($D830,Sheet1!$M$5:$O$192,3,TRUE),1)</f>
        <v>47</v>
      </c>
      <c r="S830" s="42" t="str">
        <f>VLOOKUP($D830,Sheet1!$M$5:$O$192,2,TRUE)</f>
        <v>.)/|</v>
      </c>
      <c r="T830" s="117">
        <f>IF(ABS(D830-VLOOKUP($D830,Sheet1!$M$5:$T$192,8,TRUE))&lt;10^-10,"SoCA",D830-VLOOKUP($D830,Sheet1!$M$5:$T$192,8,TRUE))</f>
        <v>0.2266983002778602</v>
      </c>
      <c r="U830" s="109" t="str">
        <f>IF(VLOOKUP($D830,Sheet1!$M$5:$U$192,9,TRUE)=0,"",IF(ABS(D830-VLOOKUP($D830,Sheet1!$M$5:$U$192,9,TRUE))&lt;10^-10,"Alt.",D830-VLOOKUP($D830,Sheet1!$M$5:$U$192,9,TRUE)))</f>
        <v/>
      </c>
      <c r="V830" s="132">
        <f>$D830-Sheet1!$M$3*$R830</f>
        <v>0.22511723360733527</v>
      </c>
      <c r="Z830" s="6"/>
      <c r="AA830" s="61"/>
    </row>
    <row r="831" spans="1:27" ht="13.5">
      <c r="A831" t="s">
        <v>783</v>
      </c>
      <c r="B831">
        <v>2176</v>
      </c>
      <c r="C831">
        <v>2205</v>
      </c>
      <c r="D831" s="13">
        <f t="shared" si="17"/>
        <v>22.92011903345238</v>
      </c>
      <c r="E831" s="61">
        <v>17</v>
      </c>
      <c r="F831" s="65">
        <v>50.45530064375243</v>
      </c>
      <c r="G831" s="6">
        <v>666</v>
      </c>
      <c r="H831" s="6">
        <v>629</v>
      </c>
      <c r="I831" s="65">
        <v>0.58872476857045464</v>
      </c>
      <c r="J831" s="6">
        <f>VLOOKUP($D831,Sheet1!$A$5:$C$192,3,TRUE)</f>
        <v>4</v>
      </c>
      <c r="K831" s="42" t="str">
        <f>VLOOKUP($D831,Sheet1!$A$5:$C$192,2,TRUE)</f>
        <v>/|</v>
      </c>
      <c r="L831" s="6">
        <f>FLOOR(VLOOKUP($D831,Sheet1!$D$5:$F$192,3,TRUE),1)</f>
        <v>10</v>
      </c>
      <c r="M831" s="42" t="str">
        <f>VLOOKUP($D831,Sheet1!$D$5:$F$192,2,TRUE)</f>
        <v>)/|</v>
      </c>
      <c r="N831" s="23">
        <f>FLOOR(VLOOKUP($D831,Sheet1!$G$5:$I$192,3,TRUE),1)</f>
        <v>12</v>
      </c>
      <c r="O831" s="42" t="str">
        <f>VLOOKUP($D831,Sheet1!$G$5:$I$192,2,TRUE)</f>
        <v>.)/|</v>
      </c>
      <c r="P831" s="23">
        <v>1</v>
      </c>
      <c r="Q831" s="43" t="str">
        <f>VLOOKUP($D831,Sheet1!$J$5:$L$192,2,TRUE)</f>
        <v>.)/|</v>
      </c>
      <c r="R831" s="23">
        <f>FLOOR(VLOOKUP($D831,Sheet1!$M$5:$O$192,3,TRUE),1)</f>
        <v>47</v>
      </c>
      <c r="S831" s="42" t="str">
        <f>VLOOKUP($D831,Sheet1!$M$5:$O$192,2,TRUE)</f>
        <v>.)/|</v>
      </c>
      <c r="T831" s="117">
        <f>IF(ABS(D831-VLOOKUP($D831,Sheet1!$M$5:$T$192,8,TRUE))&lt;10^-10,"SoCA",D831-VLOOKUP($D831,Sheet1!$M$5:$T$192,8,TRUE))</f>
        <v>-1.0468503793234163E-2</v>
      </c>
      <c r="U831" s="109" t="str">
        <f>IF(VLOOKUP($D831,Sheet1!$M$5:$U$192,9,TRUE)=0,"",IF(ABS(D831-VLOOKUP($D831,Sheet1!$M$5:$U$192,9,TRUE))&lt;10^-10,"Alt.",D831-VLOOKUP($D831,Sheet1!$M$5:$U$192,9,TRUE)))</f>
        <v/>
      </c>
      <c r="V831" s="132">
        <f>$D831-Sheet1!$M$3*$R831</f>
        <v>-1.2049570463759096E-2</v>
      </c>
      <c r="Z831" s="6"/>
      <c r="AA831" s="61"/>
    </row>
    <row r="832" spans="1:27" ht="13.5">
      <c r="A832" t="s">
        <v>640</v>
      </c>
      <c r="B832">
        <v>8085</v>
      </c>
      <c r="C832">
        <v>8192</v>
      </c>
      <c r="D832" s="13">
        <f t="shared" si="17"/>
        <v>22.761529966771253</v>
      </c>
      <c r="E832" s="61">
        <v>11</v>
      </c>
      <c r="F832" s="65">
        <v>54.06972430656262</v>
      </c>
      <c r="G832" s="6">
        <v>535</v>
      </c>
      <c r="H832" s="6">
        <v>485</v>
      </c>
      <c r="I832" s="65">
        <v>-2.4015103248225618</v>
      </c>
      <c r="J832" s="6">
        <f>VLOOKUP($D832,Sheet1!$A$5:$C$192,3,TRUE)</f>
        <v>4</v>
      </c>
      <c r="K832" s="42" t="str">
        <f>VLOOKUP($D832,Sheet1!$A$5:$C$192,2,TRUE)</f>
        <v>/|</v>
      </c>
      <c r="L832" s="6">
        <f>FLOOR(VLOOKUP($D832,Sheet1!$D$5:$F$192,3,TRUE),1)</f>
        <v>10</v>
      </c>
      <c r="M832" s="42" t="str">
        <f>VLOOKUP($D832,Sheet1!$D$5:$F$192,2,TRUE)</f>
        <v>)/|</v>
      </c>
      <c r="N832" s="23">
        <f>FLOOR(VLOOKUP($D832,Sheet1!$G$5:$I$192,3,TRUE),1)</f>
        <v>12</v>
      </c>
      <c r="O832" s="42" t="str">
        <f>VLOOKUP($D832,Sheet1!$G$5:$I$192,2,TRUE)</f>
        <v>.)/|</v>
      </c>
      <c r="P832" s="23">
        <v>1</v>
      </c>
      <c r="Q832" s="43" t="str">
        <f>VLOOKUP($D832,Sheet1!$J$5:$L$192,2,TRUE)</f>
        <v>.)/|</v>
      </c>
      <c r="R832" s="23">
        <f>FLOOR(VLOOKUP($D832,Sheet1!$M$5:$O$192,3,TRUE),1)</f>
        <v>47</v>
      </c>
      <c r="S832" s="42" t="str">
        <f>VLOOKUP($D832,Sheet1!$M$5:$O$192,2,TRUE)</f>
        <v>.)/|</v>
      </c>
      <c r="T832" s="117">
        <f>IF(ABS(D832-VLOOKUP($D832,Sheet1!$M$5:$T$192,8,TRUE))&lt;10^-10,"SoCA",D832-VLOOKUP($D832,Sheet1!$M$5:$T$192,8,TRUE))</f>
        <v>-0.16905757047436154</v>
      </c>
      <c r="U832" s="109" t="str">
        <f>IF(VLOOKUP($D832,Sheet1!$M$5:$U$192,9,TRUE)=0,"",IF(ABS(D832-VLOOKUP($D832,Sheet1!$M$5:$U$192,9,TRUE))&lt;10^-10,"Alt.",D832-VLOOKUP($D832,Sheet1!$M$5:$U$192,9,TRUE)))</f>
        <v/>
      </c>
      <c r="V832" s="132">
        <f>$D832-Sheet1!$M$3*$R832</f>
        <v>-0.17063863714488647</v>
      </c>
      <c r="Z832" s="6"/>
      <c r="AA832" s="61"/>
    </row>
    <row r="833" spans="1:27" ht="13.5">
      <c r="A833" s="6" t="s">
        <v>441</v>
      </c>
      <c r="B833" s="6">
        <f>2^12*7^2</f>
        <v>200704</v>
      </c>
      <c r="C833" s="6">
        <f>3^8*31</f>
        <v>203391</v>
      </c>
      <c r="D833" s="13">
        <f t="shared" si="17"/>
        <v>23.02376644909975</v>
      </c>
      <c r="E833" s="61">
        <v>31</v>
      </c>
      <c r="F833" s="65">
        <v>57.741537894061395</v>
      </c>
      <c r="G833" s="6">
        <v>287</v>
      </c>
      <c r="H833" s="6">
        <v>279</v>
      </c>
      <c r="I833" s="65">
        <v>6.5823428195809521</v>
      </c>
      <c r="J833" s="6">
        <f>VLOOKUP($D833,Sheet1!$A$5:$C$192,3,TRUE)</f>
        <v>4</v>
      </c>
      <c r="K833" s="42" t="str">
        <f>VLOOKUP($D833,Sheet1!$A$5:$C$192,2,TRUE)</f>
        <v>/|</v>
      </c>
      <c r="L833" s="6">
        <f>FLOOR(VLOOKUP($D833,Sheet1!$D$5:$F$192,3,TRUE),1)</f>
        <v>10</v>
      </c>
      <c r="M833" s="42" t="str">
        <f>VLOOKUP($D833,Sheet1!$D$5:$F$192,2,TRUE)</f>
        <v>)/|</v>
      </c>
      <c r="N833" s="23">
        <f>FLOOR(VLOOKUP($D833,Sheet1!$G$5:$I$192,3,TRUE),1)</f>
        <v>12</v>
      </c>
      <c r="O833" s="42" t="str">
        <f>VLOOKUP($D833,Sheet1!$G$5:$I$192,2,TRUE)</f>
        <v>.)/|</v>
      </c>
      <c r="P833" s="23">
        <v>1</v>
      </c>
      <c r="Q833" s="43" t="str">
        <f>VLOOKUP($D833,Sheet1!$J$5:$L$192,2,TRUE)</f>
        <v>.)/|</v>
      </c>
      <c r="R833" s="23">
        <f>FLOOR(VLOOKUP($D833,Sheet1!$M$5:$O$192,3,TRUE),1)</f>
        <v>47</v>
      </c>
      <c r="S833" s="42" t="str">
        <f>VLOOKUP($D833,Sheet1!$M$5:$O$192,2,TRUE)</f>
        <v>.)/|</v>
      </c>
      <c r="T833" s="117">
        <f>IF(ABS(D833-VLOOKUP($D833,Sheet1!$M$5:$T$192,8,TRUE))&lt;10^-10,"SoCA",D833-VLOOKUP($D833,Sheet1!$M$5:$T$192,8,TRUE))</f>
        <v>9.3178911854135293E-2</v>
      </c>
      <c r="U833" s="109" t="str">
        <f>IF(VLOOKUP($D833,Sheet1!$M$5:$U$192,9,TRUE)=0,"",IF(ABS(D833-VLOOKUP($D833,Sheet1!$M$5:$U$192,9,TRUE))&lt;10^-10,"Alt.",D833-VLOOKUP($D833,Sheet1!$M$5:$U$192,9,TRUE)))</f>
        <v/>
      </c>
      <c r="V833" s="132">
        <f>$D833-Sheet1!$M$3*$R833</f>
        <v>9.159784518361036E-2</v>
      </c>
      <c r="Z833" s="6"/>
      <c r="AA833" s="61"/>
    </row>
    <row r="834" spans="1:27" ht="13.5">
      <c r="A834" t="s">
        <v>1554</v>
      </c>
      <c r="B834">
        <v>2587221</v>
      </c>
      <c r="C834">
        <v>2621440</v>
      </c>
      <c r="D834" s="13">
        <f t="shared" si="17"/>
        <v>22.747477799376622</v>
      </c>
      <c r="E834" s="61">
        <v>13</v>
      </c>
      <c r="F834" s="65">
        <v>57.947601390344921</v>
      </c>
      <c r="G834" s="6">
        <v>1461</v>
      </c>
      <c r="H834" s="6">
        <v>1403</v>
      </c>
      <c r="I834" s="65">
        <v>-8.4006450816812421</v>
      </c>
      <c r="J834" s="6">
        <f>VLOOKUP($D834,Sheet1!$A$5:$C$192,3,TRUE)</f>
        <v>4</v>
      </c>
      <c r="K834" s="42" t="str">
        <f>VLOOKUP($D834,Sheet1!$A$5:$C$192,2,TRUE)</f>
        <v>/|</v>
      </c>
      <c r="L834" s="6">
        <f>FLOOR(VLOOKUP($D834,Sheet1!$D$5:$F$192,3,TRUE),1)</f>
        <v>10</v>
      </c>
      <c r="M834" s="42" t="str">
        <f>VLOOKUP($D834,Sheet1!$D$5:$F$192,2,TRUE)</f>
        <v>)/|</v>
      </c>
      <c r="N834" s="23">
        <f>FLOOR(VLOOKUP($D834,Sheet1!$G$5:$I$192,3,TRUE),1)</f>
        <v>12</v>
      </c>
      <c r="O834" s="42" t="str">
        <f>VLOOKUP($D834,Sheet1!$G$5:$I$192,2,TRUE)</f>
        <v>.)/|</v>
      </c>
      <c r="P834" s="23">
        <v>1</v>
      </c>
      <c r="Q834" s="43" t="str">
        <f>VLOOKUP($D834,Sheet1!$J$5:$L$192,2,TRUE)</f>
        <v>.)/|</v>
      </c>
      <c r="R834" s="23">
        <f>FLOOR(VLOOKUP($D834,Sheet1!$M$5:$O$192,3,TRUE),1)</f>
        <v>47</v>
      </c>
      <c r="S834" s="42" t="str">
        <f>VLOOKUP($D834,Sheet1!$M$5:$O$192,2,TRUE)</f>
        <v>.)/|</v>
      </c>
      <c r="T834" s="117">
        <f>IF(ABS(D834-VLOOKUP($D834,Sheet1!$M$5:$T$192,8,TRUE))&lt;10^-10,"SoCA",D834-VLOOKUP($D834,Sheet1!$M$5:$T$192,8,TRUE))</f>
        <v>-0.18310973786899254</v>
      </c>
      <c r="U834" s="109" t="str">
        <f>IF(VLOOKUP($D834,Sheet1!$M$5:$U$192,9,TRUE)=0,"",IF(ABS(D834-VLOOKUP($D834,Sheet1!$M$5:$U$192,9,TRUE))&lt;10^-10,"Alt.",D834-VLOOKUP($D834,Sheet1!$M$5:$U$192,9,TRUE)))</f>
        <v/>
      </c>
      <c r="V834" s="132">
        <f>$D834-Sheet1!$M$3*$R834</f>
        <v>-0.18469080453951747</v>
      </c>
      <c r="Z834" s="6"/>
      <c r="AA834" s="61"/>
    </row>
    <row r="835" spans="1:27" ht="13.5">
      <c r="A835" t="s">
        <v>1455</v>
      </c>
      <c r="B835">
        <v>44469</v>
      </c>
      <c r="C835">
        <v>45056</v>
      </c>
      <c r="D835" s="13">
        <f t="shared" si="17"/>
        <v>22.70313209696852</v>
      </c>
      <c r="E835" s="61" t="s">
        <v>1931</v>
      </c>
      <c r="F835" s="65">
        <v>74.765875380104617</v>
      </c>
      <c r="G835" s="6">
        <v>1367</v>
      </c>
      <c r="H835" s="6">
        <v>1304</v>
      </c>
      <c r="I835" s="65">
        <v>-7.3979145552237853</v>
      </c>
      <c r="J835" s="6">
        <f>VLOOKUP($D835,Sheet1!$A$5:$C$192,3,TRUE)</f>
        <v>4</v>
      </c>
      <c r="K835" s="42" t="str">
        <f>VLOOKUP($D835,Sheet1!$A$5:$C$192,2,TRUE)</f>
        <v>/|</v>
      </c>
      <c r="L835" s="6">
        <f>FLOOR(VLOOKUP($D835,Sheet1!$D$5:$F$192,3,TRUE),1)</f>
        <v>10</v>
      </c>
      <c r="M835" s="42" t="str">
        <f>VLOOKUP($D835,Sheet1!$D$5:$F$192,2,TRUE)</f>
        <v>)/|</v>
      </c>
      <c r="N835" s="23">
        <f>FLOOR(VLOOKUP($D835,Sheet1!$G$5:$I$192,3,TRUE),1)</f>
        <v>12</v>
      </c>
      <c r="O835" s="42" t="str">
        <f>VLOOKUP($D835,Sheet1!$G$5:$I$192,2,TRUE)</f>
        <v>.)/|</v>
      </c>
      <c r="P835" s="23">
        <v>1</v>
      </c>
      <c r="Q835" s="43" t="str">
        <f>VLOOKUP($D835,Sheet1!$J$5:$L$192,2,TRUE)</f>
        <v>.)/|</v>
      </c>
      <c r="R835" s="23">
        <f>FLOOR(VLOOKUP($D835,Sheet1!$M$5:$O$192,3,TRUE),1)</f>
        <v>47</v>
      </c>
      <c r="S835" s="42" t="str">
        <f>VLOOKUP($D835,Sheet1!$M$5:$O$192,2,TRUE)</f>
        <v>.)/|</v>
      </c>
      <c r="T835" s="117">
        <f>IF(ABS(D835-VLOOKUP($D835,Sheet1!$M$5:$T$192,8,TRUE))&lt;10^-10,"SoCA",D835-VLOOKUP($D835,Sheet1!$M$5:$T$192,8,TRUE))</f>
        <v>-0.22745544027709386</v>
      </c>
      <c r="U835" s="109" t="str">
        <f>IF(VLOOKUP($D835,Sheet1!$M$5:$U$192,9,TRUE)=0,"",IF(ABS(D835-VLOOKUP($D835,Sheet1!$M$5:$U$192,9,TRUE))&lt;10^-10,"Alt.",D835-VLOOKUP($D835,Sheet1!$M$5:$U$192,9,TRUE)))</f>
        <v/>
      </c>
      <c r="V835" s="132">
        <f>$D835-Sheet1!$M$3*$R835</f>
        <v>-0.22903650694761879</v>
      </c>
      <c r="Z835" s="6"/>
      <c r="AA835" s="61"/>
    </row>
    <row r="836" spans="1:27" ht="13.5">
      <c r="A836" t="s">
        <v>655</v>
      </c>
      <c r="B836">
        <v>1863</v>
      </c>
      <c r="C836">
        <v>1888</v>
      </c>
      <c r="D836" s="13">
        <f t="shared" ref="D836:D899" si="18">1200*LN($C836/$B836)/LN(2)</f>
        <v>23.077308504244495</v>
      </c>
      <c r="E836" s="61" t="s">
        <v>1931</v>
      </c>
      <c r="F836" s="65">
        <v>82.720138887637404</v>
      </c>
      <c r="G836" s="6">
        <v>522</v>
      </c>
      <c r="H836" s="6">
        <v>500</v>
      </c>
      <c r="I836" s="65">
        <v>-5.4209539598186369</v>
      </c>
      <c r="J836" s="6">
        <f>VLOOKUP($D836,Sheet1!$A$5:$C$192,3,TRUE)</f>
        <v>4</v>
      </c>
      <c r="K836" s="42" t="str">
        <f>VLOOKUP($D836,Sheet1!$A$5:$C$192,2,TRUE)</f>
        <v>/|</v>
      </c>
      <c r="L836" s="6">
        <f>FLOOR(VLOOKUP($D836,Sheet1!$D$5:$F$192,3,TRUE),1)</f>
        <v>10</v>
      </c>
      <c r="M836" s="42" t="str">
        <f>VLOOKUP($D836,Sheet1!$D$5:$F$192,2,TRUE)</f>
        <v>)/|</v>
      </c>
      <c r="N836" s="23">
        <f>FLOOR(VLOOKUP($D836,Sheet1!$G$5:$I$192,3,TRUE),1)</f>
        <v>12</v>
      </c>
      <c r="O836" s="42" t="str">
        <f>VLOOKUP($D836,Sheet1!$G$5:$I$192,2,TRUE)</f>
        <v>.)/|</v>
      </c>
      <c r="P836" s="23">
        <v>1</v>
      </c>
      <c r="Q836" s="43" t="str">
        <f>VLOOKUP($D836,Sheet1!$J$5:$L$192,2,TRUE)</f>
        <v>.)/|</v>
      </c>
      <c r="R836" s="23">
        <f>FLOOR(VLOOKUP($D836,Sheet1!$M$5:$O$192,3,TRUE),1)</f>
        <v>47</v>
      </c>
      <c r="S836" s="42" t="str">
        <f>VLOOKUP($D836,Sheet1!$M$5:$O$192,2,TRUE)</f>
        <v>.)/|</v>
      </c>
      <c r="T836" s="117">
        <f>IF(ABS(D836-VLOOKUP($D836,Sheet1!$M$5:$T$192,8,TRUE))&lt;10^-10,"SoCA",D836-VLOOKUP($D836,Sheet1!$M$5:$T$192,8,TRUE))</f>
        <v>0.14672096699888115</v>
      </c>
      <c r="U836" s="109" t="str">
        <f>IF(VLOOKUP($D836,Sheet1!$M$5:$U$192,9,TRUE)=0,"",IF(ABS(D836-VLOOKUP($D836,Sheet1!$M$5:$U$192,9,TRUE))&lt;10^-10,"Alt.",D836-VLOOKUP($D836,Sheet1!$M$5:$U$192,9,TRUE)))</f>
        <v/>
      </c>
      <c r="V836" s="132">
        <f>$D836-Sheet1!$M$3*$R836</f>
        <v>0.14513990032835622</v>
      </c>
      <c r="Z836" s="6"/>
      <c r="AA836" s="61"/>
    </row>
    <row r="837" spans="1:27" ht="13.5">
      <c r="A837" s="6" t="s">
        <v>1883</v>
      </c>
      <c r="B837">
        <v>59049</v>
      </c>
      <c r="C837">
        <v>59840</v>
      </c>
      <c r="D837" s="13">
        <f t="shared" si="18"/>
        <v>23.037057076124707</v>
      </c>
      <c r="E837" s="61">
        <v>17</v>
      </c>
      <c r="F837" s="65">
        <v>89.736137981994744</v>
      </c>
      <c r="G837" s="59">
        <v>1719</v>
      </c>
      <c r="H837" s="63">
        <v>1000088</v>
      </c>
      <c r="I837" s="65">
        <v>-11.418475532745365</v>
      </c>
      <c r="J837" s="6">
        <f>VLOOKUP($D837,Sheet1!$A$5:$C$192,3,TRUE)</f>
        <v>4</v>
      </c>
      <c r="K837" s="42" t="str">
        <f>VLOOKUP($D837,Sheet1!$A$5:$C$192,2,TRUE)</f>
        <v>/|</v>
      </c>
      <c r="L837" s="6">
        <f>FLOOR(VLOOKUP($D837,Sheet1!$D$5:$F$192,3,TRUE),1)</f>
        <v>10</v>
      </c>
      <c r="M837" s="42" t="str">
        <f>VLOOKUP($D837,Sheet1!$D$5:$F$192,2,TRUE)</f>
        <v>)/|</v>
      </c>
      <c r="N837" s="23">
        <f>FLOOR(VLOOKUP($D837,Sheet1!$G$5:$I$192,3,TRUE),1)</f>
        <v>12</v>
      </c>
      <c r="O837" s="42" t="str">
        <f>VLOOKUP($D837,Sheet1!$G$5:$I$192,2,TRUE)</f>
        <v>.)/|</v>
      </c>
      <c r="P837" s="23">
        <v>1</v>
      </c>
      <c r="Q837" s="43" t="str">
        <f>VLOOKUP($D837,Sheet1!$J$5:$L$192,2,TRUE)</f>
        <v>.)/|</v>
      </c>
      <c r="R837" s="23">
        <f>FLOOR(VLOOKUP($D837,Sheet1!$M$5:$O$192,3,TRUE),1)</f>
        <v>47</v>
      </c>
      <c r="S837" s="42" t="str">
        <f>VLOOKUP($D837,Sheet1!$M$5:$O$192,2,TRUE)</f>
        <v>.)/|</v>
      </c>
      <c r="T837" s="117">
        <f>IF(ABS(D837-VLOOKUP($D837,Sheet1!$M$5:$T$192,8,TRUE))&lt;10^-10,"SoCA",D837-VLOOKUP($D837,Sheet1!$M$5:$T$192,8,TRUE))</f>
        <v>0.10646953887909305</v>
      </c>
      <c r="U837" s="109" t="str">
        <f>IF(VLOOKUP($D837,Sheet1!$M$5:$U$192,9,TRUE)=0,"",IF(ABS(D837-VLOOKUP($D837,Sheet1!$M$5:$U$192,9,TRUE))&lt;10^-10,"Alt.",D837-VLOOKUP($D837,Sheet1!$M$5:$U$192,9,TRUE)))</f>
        <v/>
      </c>
      <c r="V837" s="132">
        <f>$D837-Sheet1!$M$3*$R837</f>
        <v>0.10488847220856812</v>
      </c>
      <c r="Z837" s="6"/>
      <c r="AA837" s="61"/>
    </row>
    <row r="838" spans="1:27" ht="13.5">
      <c r="A838" t="s">
        <v>685</v>
      </c>
      <c r="B838">
        <v>18944</v>
      </c>
      <c r="C838">
        <v>19197</v>
      </c>
      <c r="D838" s="13">
        <f t="shared" si="18"/>
        <v>22.967863384720768</v>
      </c>
      <c r="E838" s="61" t="s">
        <v>1931</v>
      </c>
      <c r="F838" s="65">
        <v>116.57989045369193</v>
      </c>
      <c r="G838" s="6">
        <v>575</v>
      </c>
      <c r="H838" s="6">
        <v>530</v>
      </c>
      <c r="I838" s="65">
        <v>3.5857849749207182</v>
      </c>
      <c r="J838" s="6">
        <f>VLOOKUP($D838,Sheet1!$A$5:$C$192,3,TRUE)</f>
        <v>4</v>
      </c>
      <c r="K838" s="42" t="str">
        <f>VLOOKUP($D838,Sheet1!$A$5:$C$192,2,TRUE)</f>
        <v>/|</v>
      </c>
      <c r="L838" s="6">
        <f>FLOOR(VLOOKUP($D838,Sheet1!$D$5:$F$192,3,TRUE),1)</f>
        <v>10</v>
      </c>
      <c r="M838" s="42" t="str">
        <f>VLOOKUP($D838,Sheet1!$D$5:$F$192,2,TRUE)</f>
        <v>)/|</v>
      </c>
      <c r="N838" s="23">
        <f>FLOOR(VLOOKUP($D838,Sheet1!$G$5:$I$192,3,TRUE),1)</f>
        <v>12</v>
      </c>
      <c r="O838" s="42" t="str">
        <f>VLOOKUP($D838,Sheet1!$G$5:$I$192,2,TRUE)</f>
        <v>.)/|</v>
      </c>
      <c r="P838" s="23">
        <v>1</v>
      </c>
      <c r="Q838" s="43" t="str">
        <f>VLOOKUP($D838,Sheet1!$J$5:$L$192,2,TRUE)</f>
        <v>.)/|</v>
      </c>
      <c r="R838" s="23">
        <f>FLOOR(VLOOKUP($D838,Sheet1!$M$5:$O$192,3,TRUE),1)</f>
        <v>47</v>
      </c>
      <c r="S838" s="42" t="str">
        <f>VLOOKUP($D838,Sheet1!$M$5:$O$192,2,TRUE)</f>
        <v>.)/|</v>
      </c>
      <c r="T838" s="117">
        <f>IF(ABS(D838-VLOOKUP($D838,Sheet1!$M$5:$T$192,8,TRUE))&lt;10^-10,"SoCA",D838-VLOOKUP($D838,Sheet1!$M$5:$T$192,8,TRUE))</f>
        <v>3.7275847475154222E-2</v>
      </c>
      <c r="U838" s="109" t="str">
        <f>IF(VLOOKUP($D838,Sheet1!$M$5:$U$192,9,TRUE)=0,"",IF(ABS(D838-VLOOKUP($D838,Sheet1!$M$5:$U$192,9,TRUE))&lt;10^-10,"Alt.",D838-VLOOKUP($D838,Sheet1!$M$5:$U$192,9,TRUE)))</f>
        <v/>
      </c>
      <c r="V838" s="132">
        <f>$D838-Sheet1!$M$3*$R838</f>
        <v>3.5694780804629289E-2</v>
      </c>
      <c r="Z838" s="6"/>
      <c r="AA838" s="61"/>
    </row>
    <row r="839" spans="1:27" ht="13.5">
      <c r="A839" s="6" t="s">
        <v>1884</v>
      </c>
      <c r="B839">
        <v>23796747</v>
      </c>
      <c r="C839">
        <v>24117248</v>
      </c>
      <c r="D839" s="13">
        <f t="shared" si="18"/>
        <v>23.161104380980515</v>
      </c>
      <c r="E839" s="61">
        <v>31</v>
      </c>
      <c r="F839" s="65">
        <v>124.55761752347972</v>
      </c>
      <c r="G839" s="59">
        <v>1720</v>
      </c>
      <c r="H839" s="63">
        <v>1000089</v>
      </c>
      <c r="I839" s="65">
        <v>-11.426113577234274</v>
      </c>
      <c r="J839" s="6">
        <f>VLOOKUP($D839,Sheet1!$A$5:$C$192,3,TRUE)</f>
        <v>4</v>
      </c>
      <c r="K839" s="42" t="str">
        <f>VLOOKUP($D839,Sheet1!$A$5:$C$192,2,TRUE)</f>
        <v>/|</v>
      </c>
      <c r="L839" s="6">
        <f>FLOOR(VLOOKUP($D839,Sheet1!$D$5:$F$192,3,TRUE),1)</f>
        <v>10</v>
      </c>
      <c r="M839" s="42" t="str">
        <f>VLOOKUP($D839,Sheet1!$D$5:$F$192,2,TRUE)</f>
        <v>)/|</v>
      </c>
      <c r="N839" s="23">
        <f>FLOOR(VLOOKUP($D839,Sheet1!$G$5:$I$192,3,TRUE),1)</f>
        <v>12</v>
      </c>
      <c r="O839" s="42" t="str">
        <f>VLOOKUP($D839,Sheet1!$G$5:$I$192,2,TRUE)</f>
        <v>.)/|</v>
      </c>
      <c r="P839" s="23">
        <v>1</v>
      </c>
      <c r="Q839" s="43" t="str">
        <f>VLOOKUP($D839,Sheet1!$J$5:$L$192,2,TRUE)</f>
        <v>.)/|</v>
      </c>
      <c r="R839" s="23">
        <f>FLOOR(VLOOKUP($D839,Sheet1!$M$5:$O$192,3,TRUE),1)</f>
        <v>47</v>
      </c>
      <c r="S839" s="42" t="str">
        <f>VLOOKUP($D839,Sheet1!$M$5:$O$192,2,TRUE)</f>
        <v>.)/|</v>
      </c>
      <c r="T839" s="117">
        <f>IF(ABS(D839-VLOOKUP($D839,Sheet1!$M$5:$T$192,8,TRUE))&lt;10^-10,"SoCA",D839-VLOOKUP($D839,Sheet1!$M$5:$T$192,8,TRUE))</f>
        <v>0.23051684373490033</v>
      </c>
      <c r="U839" s="109" t="str">
        <f>IF(VLOOKUP($D839,Sheet1!$M$5:$U$192,9,TRUE)=0,"",IF(ABS(D839-VLOOKUP($D839,Sheet1!$M$5:$U$192,9,TRUE))&lt;10^-10,"Alt.",D839-VLOOKUP($D839,Sheet1!$M$5:$U$192,9,TRUE)))</f>
        <v/>
      </c>
      <c r="V839" s="132">
        <f>$D839-Sheet1!$M$3*$R839</f>
        <v>0.2289357770643754</v>
      </c>
      <c r="Z839" s="6"/>
      <c r="AA839" s="61"/>
    </row>
    <row r="840" spans="1:27" ht="13.5">
      <c r="A840" t="s">
        <v>784</v>
      </c>
      <c r="B840">
        <v>151</v>
      </c>
      <c r="C840">
        <v>153</v>
      </c>
      <c r="D840" s="13">
        <f t="shared" si="18"/>
        <v>22.779724041087555</v>
      </c>
      <c r="E840" s="61" t="s">
        <v>1931</v>
      </c>
      <c r="F840" s="65">
        <v>168.07820553327031</v>
      </c>
      <c r="G840" s="6">
        <v>668</v>
      </c>
      <c r="H840" s="6">
        <v>630</v>
      </c>
      <c r="I840" s="65">
        <v>0.59736939973716163</v>
      </c>
      <c r="J840" s="6">
        <f>VLOOKUP($D840,Sheet1!$A$5:$C$192,3,TRUE)</f>
        <v>4</v>
      </c>
      <c r="K840" s="42" t="str">
        <f>VLOOKUP($D840,Sheet1!$A$5:$C$192,2,TRUE)</f>
        <v>/|</v>
      </c>
      <c r="L840" s="6">
        <f>FLOOR(VLOOKUP($D840,Sheet1!$D$5:$F$192,3,TRUE),1)</f>
        <v>10</v>
      </c>
      <c r="M840" s="42" t="str">
        <f>VLOOKUP($D840,Sheet1!$D$5:$F$192,2,TRUE)</f>
        <v>)/|</v>
      </c>
      <c r="N840" s="23">
        <f>FLOOR(VLOOKUP($D840,Sheet1!$G$5:$I$192,3,TRUE),1)</f>
        <v>12</v>
      </c>
      <c r="O840" s="42" t="str">
        <f>VLOOKUP($D840,Sheet1!$G$5:$I$192,2,TRUE)</f>
        <v>.)/|</v>
      </c>
      <c r="P840" s="23">
        <v>1</v>
      </c>
      <c r="Q840" s="43" t="str">
        <f>VLOOKUP($D840,Sheet1!$J$5:$L$192,2,TRUE)</f>
        <v>.)/|</v>
      </c>
      <c r="R840" s="23">
        <f>FLOOR(VLOOKUP($D840,Sheet1!$M$5:$O$192,3,TRUE),1)</f>
        <v>47</v>
      </c>
      <c r="S840" s="42" t="str">
        <f>VLOOKUP($D840,Sheet1!$M$5:$O$192,2,TRUE)</f>
        <v>.)/|</v>
      </c>
      <c r="T840" s="117">
        <f>IF(ABS(D840-VLOOKUP($D840,Sheet1!$M$5:$T$192,8,TRUE))&lt;10^-10,"SoCA",D840-VLOOKUP($D840,Sheet1!$M$5:$T$192,8,TRUE))</f>
        <v>-0.15086349615805972</v>
      </c>
      <c r="U840" s="109" t="str">
        <f>IF(VLOOKUP($D840,Sheet1!$M$5:$U$192,9,TRUE)=0,"",IF(ABS(D840-VLOOKUP($D840,Sheet1!$M$5:$U$192,9,TRUE))&lt;10^-10,"Alt.",D840-VLOOKUP($D840,Sheet1!$M$5:$U$192,9,TRUE)))</f>
        <v/>
      </c>
      <c r="V840" s="132">
        <f>$D840-Sheet1!$M$3*$R840</f>
        <v>-0.15244456282858465</v>
      </c>
      <c r="Z840" s="6"/>
      <c r="AA840" s="61"/>
    </row>
    <row r="841" spans="1:27" ht="13.5">
      <c r="A841" t="s">
        <v>1285</v>
      </c>
      <c r="B841">
        <v>360448</v>
      </c>
      <c r="C841">
        <v>365229</v>
      </c>
      <c r="D841" s="13">
        <f t="shared" si="18"/>
        <v>22.812214661817713</v>
      </c>
      <c r="E841" s="61" t="s">
        <v>1931</v>
      </c>
      <c r="F841" s="65">
        <v>180.52946696870134</v>
      </c>
      <c r="G841" s="6">
        <v>1192</v>
      </c>
      <c r="H841" s="6">
        <v>1134</v>
      </c>
      <c r="I841" s="65">
        <v>5.5953688338490295</v>
      </c>
      <c r="J841" s="6">
        <f>VLOOKUP($D841,Sheet1!$A$5:$C$192,3,TRUE)</f>
        <v>4</v>
      </c>
      <c r="K841" s="42" t="str">
        <f>VLOOKUP($D841,Sheet1!$A$5:$C$192,2,TRUE)</f>
        <v>/|</v>
      </c>
      <c r="L841" s="6">
        <f>FLOOR(VLOOKUP($D841,Sheet1!$D$5:$F$192,3,TRUE),1)</f>
        <v>10</v>
      </c>
      <c r="M841" s="42" t="str">
        <f>VLOOKUP($D841,Sheet1!$D$5:$F$192,2,TRUE)</f>
        <v>)/|</v>
      </c>
      <c r="N841" s="23">
        <f>FLOOR(VLOOKUP($D841,Sheet1!$G$5:$I$192,3,TRUE),1)</f>
        <v>12</v>
      </c>
      <c r="O841" s="42" t="str">
        <f>VLOOKUP($D841,Sheet1!$G$5:$I$192,2,TRUE)</f>
        <v>.)/|</v>
      </c>
      <c r="P841" s="23">
        <v>1</v>
      </c>
      <c r="Q841" s="43" t="str">
        <f>VLOOKUP($D841,Sheet1!$J$5:$L$192,2,TRUE)</f>
        <v>.)/|</v>
      </c>
      <c r="R841" s="23">
        <f>FLOOR(VLOOKUP($D841,Sheet1!$M$5:$O$192,3,TRUE),1)</f>
        <v>47</v>
      </c>
      <c r="S841" s="42" t="str">
        <f>VLOOKUP($D841,Sheet1!$M$5:$O$192,2,TRUE)</f>
        <v>.)/|</v>
      </c>
      <c r="T841" s="117">
        <f>IF(ABS(D841-VLOOKUP($D841,Sheet1!$M$5:$T$192,8,TRUE))&lt;10^-10,"SoCA",D841-VLOOKUP($D841,Sheet1!$M$5:$T$192,8,TRUE))</f>
        <v>-0.11837287542790165</v>
      </c>
      <c r="U841" s="109" t="str">
        <f>IF(VLOOKUP($D841,Sheet1!$M$5:$U$192,9,TRUE)=0,"",IF(ABS(D841-VLOOKUP($D841,Sheet1!$M$5:$U$192,9,TRUE))&lt;10^-10,"Alt.",D841-VLOOKUP($D841,Sheet1!$M$5:$U$192,9,TRUE)))</f>
        <v/>
      </c>
      <c r="V841" s="132">
        <f>$D841-Sheet1!$M$3*$R841</f>
        <v>-0.11995394209842658</v>
      </c>
      <c r="Z841" s="6"/>
      <c r="AA841" s="61"/>
    </row>
    <row r="842" spans="1:27" ht="13.5">
      <c r="A842" t="s">
        <v>879</v>
      </c>
      <c r="B842">
        <v>6368</v>
      </c>
      <c r="C842">
        <v>6453</v>
      </c>
      <c r="D842" s="13">
        <f t="shared" si="18"/>
        <v>22.955627520682082</v>
      </c>
      <c r="E842" s="61" t="s">
        <v>1931</v>
      </c>
      <c r="F842" s="65">
        <v>438.18499261031968</v>
      </c>
      <c r="G842" s="6">
        <v>789</v>
      </c>
      <c r="H842" s="6">
        <v>726</v>
      </c>
      <c r="I842" s="65">
        <v>1.5865383816472598</v>
      </c>
      <c r="J842" s="6">
        <f>VLOOKUP($D842,Sheet1!$A$5:$C$192,3,TRUE)</f>
        <v>4</v>
      </c>
      <c r="K842" s="42" t="str">
        <f>VLOOKUP($D842,Sheet1!$A$5:$C$192,2,TRUE)</f>
        <v>/|</v>
      </c>
      <c r="L842" s="6">
        <f>FLOOR(VLOOKUP($D842,Sheet1!$D$5:$F$192,3,TRUE),1)</f>
        <v>10</v>
      </c>
      <c r="M842" s="42" t="str">
        <f>VLOOKUP($D842,Sheet1!$D$5:$F$192,2,TRUE)</f>
        <v>)/|</v>
      </c>
      <c r="N842" s="23">
        <f>FLOOR(VLOOKUP($D842,Sheet1!$G$5:$I$192,3,TRUE),1)</f>
        <v>12</v>
      </c>
      <c r="O842" s="42" t="str">
        <f>VLOOKUP($D842,Sheet1!$G$5:$I$192,2,TRUE)</f>
        <v>.)/|</v>
      </c>
      <c r="P842" s="23">
        <v>1</v>
      </c>
      <c r="Q842" s="43" t="str">
        <f>VLOOKUP($D842,Sheet1!$J$5:$L$192,2,TRUE)</f>
        <v>.)/|</v>
      </c>
      <c r="R842" s="23">
        <f>FLOOR(VLOOKUP($D842,Sheet1!$M$5:$O$192,3,TRUE),1)</f>
        <v>47</v>
      </c>
      <c r="S842" s="42" t="str">
        <f>VLOOKUP($D842,Sheet1!$M$5:$O$192,2,TRUE)</f>
        <v>.)/|</v>
      </c>
      <c r="T842" s="117">
        <f>IF(ABS(D842-VLOOKUP($D842,Sheet1!$M$5:$T$192,8,TRUE))&lt;10^-10,"SoCA",D842-VLOOKUP($D842,Sheet1!$M$5:$T$192,8,TRUE))</f>
        <v>2.503998343646785E-2</v>
      </c>
      <c r="U842" s="109" t="str">
        <f>IF(VLOOKUP($D842,Sheet1!$M$5:$U$192,9,TRUE)=0,"",IF(ABS(D842-VLOOKUP($D842,Sheet1!$M$5:$U$192,9,TRUE))&lt;10^-10,"Alt.",D842-VLOOKUP($D842,Sheet1!$M$5:$U$192,9,TRUE)))</f>
        <v/>
      </c>
      <c r="V842" s="132">
        <f>$D842-Sheet1!$M$3*$R842</f>
        <v>2.3458916765942917E-2</v>
      </c>
      <c r="Z842" s="6"/>
      <c r="AA842" s="61"/>
    </row>
    <row r="843" spans="1:27" ht="13.5">
      <c r="A843" s="48" t="s">
        <v>98</v>
      </c>
      <c r="B843" s="48">
        <f>2^19</f>
        <v>524288</v>
      </c>
      <c r="C843" s="54">
        <f>3^12</f>
        <v>531441</v>
      </c>
      <c r="D843" s="51">
        <f t="shared" si="18"/>
        <v>23.460010384649014</v>
      </c>
      <c r="E843" s="61">
        <v>1</v>
      </c>
      <c r="F843" s="65">
        <v>10.723356034606626</v>
      </c>
      <c r="G843" s="25">
        <v>5</v>
      </c>
      <c r="H843" s="6">
        <v>5</v>
      </c>
      <c r="I843" s="65">
        <v>10.555481691145998</v>
      </c>
      <c r="J843" s="6">
        <f>VLOOKUP($D843,Sheet1!$A$5:$C$192,3,TRUE)</f>
        <v>4</v>
      </c>
      <c r="K843" s="42" t="str">
        <f>VLOOKUP($D843,Sheet1!$A$5:$C$192,2,TRUE)</f>
        <v>/|</v>
      </c>
      <c r="L843" s="6">
        <f>FLOOR(VLOOKUP($D843,Sheet1!$D$5:$F$192,3,TRUE),1)</f>
        <v>10</v>
      </c>
      <c r="M843" s="42" t="str">
        <f>VLOOKUP($D843,Sheet1!$D$5:$F$192,2,TRUE)</f>
        <v>)/|</v>
      </c>
      <c r="N843" s="39">
        <f>FLOOR(VLOOKUP($D843,Sheet1!$G$5:$I$192,3,TRUE),1)</f>
        <v>12</v>
      </c>
      <c r="O843" s="44" t="str">
        <f>VLOOKUP($D843,Sheet1!$G$5:$I$192,2,TRUE)</f>
        <v>'/|</v>
      </c>
      <c r="P843" s="39">
        <v>1</v>
      </c>
      <c r="Q843" s="44" t="str">
        <f>VLOOKUP($D843,Sheet1!$J$5:$L$192,2,TRUE)</f>
        <v>'/|</v>
      </c>
      <c r="R843" s="39">
        <f>FLOOR(VLOOKUP($D843,Sheet1!$M$5:$O$192,3,TRUE),1)</f>
        <v>48</v>
      </c>
      <c r="S843" s="44" t="str">
        <f>VLOOKUP($D843,Sheet1!$M$5:$O$192,2,TRUE)</f>
        <v>'/|</v>
      </c>
      <c r="T843" s="113" t="str">
        <f>IF(ABS(D843-VLOOKUP($D843,Sheet1!$M$5:$T$192,8,TRUE))&lt;10^-10,"SoCA",D843-VLOOKUP($D843,Sheet1!$M$5:$T$192,8,TRUE))</f>
        <v>SoCA</v>
      </c>
      <c r="U843" s="118" t="str">
        <f>IF(VLOOKUP($D843,Sheet1!$M$5:$U$192,9,TRUE)=0,"",IF(ABS(D843-VLOOKUP($D843,Sheet1!$M$5:$U$192,9,TRUE))&lt;10^-10,"Alt.",D843-VLOOKUP($D843,Sheet1!$M$5:$U$192,9,TRUE)))</f>
        <v/>
      </c>
      <c r="V843" s="136">
        <f>$D843-Sheet1!$M$3*$R843</f>
        <v>3.9923299798488188E-2</v>
      </c>
      <c r="Z843" s="6"/>
      <c r="AA843" s="61"/>
    </row>
    <row r="844" spans="1:27" ht="13.5">
      <c r="A844" s="23" t="s">
        <v>602</v>
      </c>
      <c r="B844" s="23">
        <f>13*17</f>
        <v>221</v>
      </c>
      <c r="C844" s="23">
        <f>2^5*7</f>
        <v>224</v>
      </c>
      <c r="D844" s="13">
        <f t="shared" si="18"/>
        <v>23.342835199406966</v>
      </c>
      <c r="E844" s="61">
        <v>17</v>
      </c>
      <c r="F844" s="65">
        <v>44.437523634862686</v>
      </c>
      <c r="G844" s="6">
        <v>493</v>
      </c>
      <c r="H844" s="6">
        <v>447</v>
      </c>
      <c r="I844" s="65">
        <v>-1.437303405806208</v>
      </c>
      <c r="J844" s="6">
        <f>VLOOKUP($D844,Sheet1!$A$5:$C$192,3,TRUE)</f>
        <v>4</v>
      </c>
      <c r="K844" s="42" t="str">
        <f>VLOOKUP($D844,Sheet1!$A$5:$C$192,2,TRUE)</f>
        <v>/|</v>
      </c>
      <c r="L844" s="6">
        <f>FLOOR(VLOOKUP($D844,Sheet1!$D$5:$F$192,3,TRUE),1)</f>
        <v>10</v>
      </c>
      <c r="M844" s="42" t="str">
        <f>VLOOKUP($D844,Sheet1!$D$5:$F$192,2,TRUE)</f>
        <v>)/|</v>
      </c>
      <c r="N844" s="23">
        <f>FLOOR(VLOOKUP($D844,Sheet1!$G$5:$I$192,3,TRUE),1)</f>
        <v>12</v>
      </c>
      <c r="O844" s="42" t="str">
        <f>VLOOKUP($D844,Sheet1!$G$5:$I$192,2,TRUE)</f>
        <v>'/|</v>
      </c>
      <c r="P844" s="23">
        <v>1</v>
      </c>
      <c r="Q844" s="43" t="str">
        <f>VLOOKUP($D844,Sheet1!$J$5:$L$192,2,TRUE)</f>
        <v>'/|</v>
      </c>
      <c r="R844" s="23">
        <f>FLOOR(VLOOKUP($D844,Sheet1!$M$5:$O$192,3,TRUE),1)</f>
        <v>48</v>
      </c>
      <c r="S844" s="43" t="str">
        <f>VLOOKUP($D844,Sheet1!$M$5:$O$192,2,TRUE)</f>
        <v>'/|</v>
      </c>
      <c r="T844" s="117">
        <f>IF(ABS(D844-VLOOKUP($D844,Sheet1!$M$5:$T$192,8,TRUE))&lt;10^-10,"SoCA",D844-VLOOKUP($D844,Sheet1!$M$5:$T$192,8,TRUE))</f>
        <v>-0.11717518524197246</v>
      </c>
      <c r="U844" s="117" t="str">
        <f>IF(VLOOKUP($D844,Sheet1!$M$5:$U$192,9,TRUE)=0,"",IF(ABS(D844-VLOOKUP($D844,Sheet1!$M$5:$U$192,9,TRUE))&lt;10^-10,"Alt.",D844-VLOOKUP($D844,Sheet1!$M$5:$U$192,9,TRUE)))</f>
        <v/>
      </c>
      <c r="V844" s="132">
        <f>$D844-Sheet1!$M$3*$R844</f>
        <v>-7.7251885443558876E-2</v>
      </c>
      <c r="Z844" s="6"/>
      <c r="AA844" s="61"/>
    </row>
    <row r="845" spans="1:27" ht="13.5">
      <c r="A845" t="s">
        <v>709</v>
      </c>
      <c r="B845">
        <v>513</v>
      </c>
      <c r="C845">
        <v>520</v>
      </c>
      <c r="D845" s="13">
        <f t="shared" si="18"/>
        <v>23.46335690568047</v>
      </c>
      <c r="E845" s="61">
        <v>19</v>
      </c>
      <c r="F845" s="65">
        <v>44.70131968934713</v>
      </c>
      <c r="G845" s="6">
        <v>596</v>
      </c>
      <c r="H845" s="6">
        <v>554</v>
      </c>
      <c r="I845" s="65">
        <v>-4.444724366345949</v>
      </c>
      <c r="J845" s="6">
        <f>VLOOKUP($D845,Sheet1!$A$5:$C$192,3,TRUE)</f>
        <v>4</v>
      </c>
      <c r="K845" s="42" t="str">
        <f>VLOOKUP($D845,Sheet1!$A$5:$C$192,2,TRUE)</f>
        <v>/|</v>
      </c>
      <c r="L845" s="6">
        <f>FLOOR(VLOOKUP($D845,Sheet1!$D$5:$F$192,3,TRUE),1)</f>
        <v>10</v>
      </c>
      <c r="M845" s="42" t="str">
        <f>VLOOKUP($D845,Sheet1!$D$5:$F$192,2,TRUE)</f>
        <v>)/|</v>
      </c>
      <c r="N845" s="23">
        <f>FLOOR(VLOOKUP($D845,Sheet1!$G$5:$I$192,3,TRUE),1)</f>
        <v>12</v>
      </c>
      <c r="O845" s="42" t="str">
        <f>VLOOKUP($D845,Sheet1!$G$5:$I$192,2,TRUE)</f>
        <v>'/|</v>
      </c>
      <c r="P845" s="23">
        <v>1</v>
      </c>
      <c r="Q845" s="43" t="str">
        <f>VLOOKUP($D845,Sheet1!$J$5:$L$192,2,TRUE)</f>
        <v>'/|</v>
      </c>
      <c r="R845" s="23">
        <f>FLOOR(VLOOKUP($D845,Sheet1!$M$5:$O$192,3,TRUE),1)</f>
        <v>48</v>
      </c>
      <c r="S845" s="42" t="str">
        <f>VLOOKUP($D845,Sheet1!$M$5:$O$192,2,TRUE)</f>
        <v>'/|</v>
      </c>
      <c r="T845" s="117">
        <f>IF(ABS(D845-VLOOKUP($D845,Sheet1!$M$5:$T$192,8,TRUE))&lt;10^-10,"SoCA",D845-VLOOKUP($D845,Sheet1!$M$5:$T$192,8,TRUE))</f>
        <v>3.3465210315313243E-3</v>
      </c>
      <c r="U845" s="109" t="str">
        <f>IF(VLOOKUP($D845,Sheet1!$M$5:$U$192,9,TRUE)=0,"",IF(ABS(D845-VLOOKUP($D845,Sheet1!$M$5:$U$192,9,TRUE))&lt;10^-10,"Alt.",D845-VLOOKUP($D845,Sheet1!$M$5:$U$192,9,TRUE)))</f>
        <v/>
      </c>
      <c r="V845" s="132">
        <f>$D845-Sheet1!$M$3*$R845</f>
        <v>4.3269820829944905E-2</v>
      </c>
      <c r="Z845" s="6"/>
      <c r="AA845" s="61"/>
    </row>
    <row r="846" spans="1:27" ht="13.5">
      <c r="A846" t="s">
        <v>1269</v>
      </c>
      <c r="B846">
        <v>27783</v>
      </c>
      <c r="C846">
        <v>28160</v>
      </c>
      <c r="D846" s="13">
        <f t="shared" si="18"/>
        <v>23.333933360667203</v>
      </c>
      <c r="E846" s="61">
        <v>11</v>
      </c>
      <c r="F846" s="65">
        <v>45.000211602870657</v>
      </c>
      <c r="G846" s="6">
        <v>1175</v>
      </c>
      <c r="H846" s="6">
        <v>1118</v>
      </c>
      <c r="I846" s="65">
        <v>-5.4367552871638365</v>
      </c>
      <c r="J846" s="6">
        <f>VLOOKUP($D846,Sheet1!$A$5:$C$192,3,TRUE)</f>
        <v>4</v>
      </c>
      <c r="K846" s="42" t="str">
        <f>VLOOKUP($D846,Sheet1!$A$5:$C$192,2,TRUE)</f>
        <v>/|</v>
      </c>
      <c r="L846" s="6">
        <f>FLOOR(VLOOKUP($D846,Sheet1!$D$5:$F$192,3,TRUE),1)</f>
        <v>10</v>
      </c>
      <c r="M846" s="42" t="str">
        <f>VLOOKUP($D846,Sheet1!$D$5:$F$192,2,TRUE)</f>
        <v>)/|</v>
      </c>
      <c r="N846" s="23">
        <f>FLOOR(VLOOKUP($D846,Sheet1!$G$5:$I$192,3,TRUE),1)</f>
        <v>12</v>
      </c>
      <c r="O846" s="42" t="str">
        <f>VLOOKUP($D846,Sheet1!$G$5:$I$192,2,TRUE)</f>
        <v>'/|</v>
      </c>
      <c r="P846" s="23">
        <v>1</v>
      </c>
      <c r="Q846" s="43" t="str">
        <f>VLOOKUP($D846,Sheet1!$J$5:$L$192,2,TRUE)</f>
        <v>'/|</v>
      </c>
      <c r="R846" s="23">
        <f>FLOOR(VLOOKUP($D846,Sheet1!$M$5:$O$192,3,TRUE),1)</f>
        <v>48</v>
      </c>
      <c r="S846" s="42" t="str">
        <f>VLOOKUP($D846,Sheet1!$M$5:$O$192,2,TRUE)</f>
        <v>'/|</v>
      </c>
      <c r="T846" s="117">
        <f>IF(ABS(D846-VLOOKUP($D846,Sheet1!$M$5:$T$192,8,TRUE))&lt;10^-10,"SoCA",D846-VLOOKUP($D846,Sheet1!$M$5:$T$192,8,TRUE))</f>
        <v>-0.12607702398173615</v>
      </c>
      <c r="U846" s="109" t="str">
        <f>IF(VLOOKUP($D846,Sheet1!$M$5:$U$192,9,TRUE)=0,"",IF(ABS(D846-VLOOKUP($D846,Sheet1!$M$5:$U$192,9,TRUE))&lt;10^-10,"Alt.",D846-VLOOKUP($D846,Sheet1!$M$5:$U$192,9,TRUE)))</f>
        <v/>
      </c>
      <c r="V846" s="132">
        <f>$D846-Sheet1!$M$3*$R846</f>
        <v>-8.6153724183322566E-2</v>
      </c>
      <c r="Z846" s="6"/>
      <c r="AA846" s="61"/>
    </row>
    <row r="847" spans="1:27" ht="13.5">
      <c r="A847" s="23" t="s">
        <v>417</v>
      </c>
      <c r="B847" s="23">
        <f>2*37</f>
        <v>74</v>
      </c>
      <c r="C847" s="23">
        <f>3*5^2</f>
        <v>75</v>
      </c>
      <c r="D847" s="13">
        <f t="shared" si="18"/>
        <v>23.238389840317456</v>
      </c>
      <c r="E847" s="61">
        <v>37</v>
      </c>
      <c r="F847" s="65">
        <v>56.435990638117481</v>
      </c>
      <c r="G847" s="6">
        <v>285</v>
      </c>
      <c r="H847" s="6">
        <v>255</v>
      </c>
      <c r="I847" s="65">
        <v>-0.43087232453190683</v>
      </c>
      <c r="J847" s="6">
        <f>VLOOKUP($D847,Sheet1!$A$5:$C$192,3,TRUE)</f>
        <v>4</v>
      </c>
      <c r="K847" s="42" t="str">
        <f>VLOOKUP($D847,Sheet1!$A$5:$C$192,2,TRUE)</f>
        <v>/|</v>
      </c>
      <c r="L847" s="6">
        <f>FLOOR(VLOOKUP($D847,Sheet1!$D$5:$F$192,3,TRUE),1)</f>
        <v>10</v>
      </c>
      <c r="M847" s="42" t="str">
        <f>VLOOKUP($D847,Sheet1!$D$5:$F$192,2,TRUE)</f>
        <v>)/|</v>
      </c>
      <c r="N847" s="23">
        <f>FLOOR(VLOOKUP($D847,Sheet1!$G$5:$I$192,3,TRUE),1)</f>
        <v>12</v>
      </c>
      <c r="O847" s="42" t="str">
        <f>VLOOKUP($D847,Sheet1!$G$5:$I$192,2,TRUE)</f>
        <v>'/|</v>
      </c>
      <c r="P847" s="23">
        <v>1</v>
      </c>
      <c r="Q847" s="43" t="str">
        <f>VLOOKUP($D847,Sheet1!$J$5:$L$192,2,TRUE)</f>
        <v>'/|</v>
      </c>
      <c r="R847" s="23">
        <f>FLOOR(VLOOKUP($D847,Sheet1!$M$5:$O$192,3,TRUE),1)</f>
        <v>48</v>
      </c>
      <c r="S847" s="42" t="str">
        <f>VLOOKUP($D847,Sheet1!$M$5:$O$192,2,TRUE)</f>
        <v>'/|</v>
      </c>
      <c r="T847" s="117">
        <f>IF(ABS(D847-VLOOKUP($D847,Sheet1!$M$5:$T$192,8,TRUE))&lt;10^-10,"SoCA",D847-VLOOKUP($D847,Sheet1!$M$5:$T$192,8,TRUE))</f>
        <v>-0.22162054433148271</v>
      </c>
      <c r="U847" s="109" t="str">
        <f>IF(VLOOKUP($D847,Sheet1!$M$5:$U$192,9,TRUE)=0,"",IF(ABS(D847-VLOOKUP($D847,Sheet1!$M$5:$U$192,9,TRUE))&lt;10^-10,"Alt.",D847-VLOOKUP($D847,Sheet1!$M$5:$U$192,9,TRUE)))</f>
        <v/>
      </c>
      <c r="V847" s="132">
        <f>$D847-Sheet1!$M$3*$R847</f>
        <v>-0.18169724453306912</v>
      </c>
      <c r="Z847" s="6"/>
      <c r="AA847" s="61"/>
    </row>
    <row r="848" spans="1:27" ht="13.5">
      <c r="A848" t="s">
        <v>1278</v>
      </c>
      <c r="B848">
        <v>15104</v>
      </c>
      <c r="C848">
        <v>15309</v>
      </c>
      <c r="D848" s="13">
        <f t="shared" si="18"/>
        <v>23.339253292627308</v>
      </c>
      <c r="E848" s="61" t="s">
        <v>1931</v>
      </c>
      <c r="F848" s="65">
        <v>68.042770694880204</v>
      </c>
      <c r="G848" s="6">
        <v>1186</v>
      </c>
      <c r="H848" s="6">
        <v>1127</v>
      </c>
      <c r="I848" s="65">
        <v>5.5629171452438122</v>
      </c>
      <c r="J848" s="6">
        <f>VLOOKUP($D848,Sheet1!$A$5:$C$192,3,TRUE)</f>
        <v>4</v>
      </c>
      <c r="K848" s="42" t="str">
        <f>VLOOKUP($D848,Sheet1!$A$5:$C$192,2,TRUE)</f>
        <v>/|</v>
      </c>
      <c r="L848" s="6">
        <f>FLOOR(VLOOKUP($D848,Sheet1!$D$5:$F$192,3,TRUE),1)</f>
        <v>10</v>
      </c>
      <c r="M848" s="42" t="str">
        <f>VLOOKUP($D848,Sheet1!$D$5:$F$192,2,TRUE)</f>
        <v>)/|</v>
      </c>
      <c r="N848" s="23">
        <f>FLOOR(VLOOKUP($D848,Sheet1!$G$5:$I$192,3,TRUE),1)</f>
        <v>12</v>
      </c>
      <c r="O848" s="42" t="str">
        <f>VLOOKUP($D848,Sheet1!$G$5:$I$192,2,TRUE)</f>
        <v>'/|</v>
      </c>
      <c r="P848" s="23">
        <v>1</v>
      </c>
      <c r="Q848" s="43" t="str">
        <f>VLOOKUP($D848,Sheet1!$J$5:$L$192,2,TRUE)</f>
        <v>'/|</v>
      </c>
      <c r="R848" s="23">
        <f>FLOOR(VLOOKUP($D848,Sheet1!$M$5:$O$192,3,TRUE),1)</f>
        <v>48</v>
      </c>
      <c r="S848" s="42" t="str">
        <f>VLOOKUP($D848,Sheet1!$M$5:$O$192,2,TRUE)</f>
        <v>'/|</v>
      </c>
      <c r="T848" s="117">
        <f>IF(ABS(D848-VLOOKUP($D848,Sheet1!$M$5:$T$192,8,TRUE))&lt;10^-10,"SoCA",D848-VLOOKUP($D848,Sheet1!$M$5:$T$192,8,TRUE))</f>
        <v>-0.12075709202163054</v>
      </c>
      <c r="U848" s="109" t="str">
        <f>IF(VLOOKUP($D848,Sheet1!$M$5:$U$192,9,TRUE)=0,"",IF(ABS(D848-VLOOKUP($D848,Sheet1!$M$5:$U$192,9,TRUE))&lt;10^-10,"Alt.",D848-VLOOKUP($D848,Sheet1!$M$5:$U$192,9,TRUE)))</f>
        <v/>
      </c>
      <c r="V848" s="132">
        <f>$D848-Sheet1!$M$3*$R848</f>
        <v>-8.083379222321696E-2</v>
      </c>
      <c r="Z848" s="6"/>
      <c r="AA848" s="61"/>
    </row>
    <row r="849" spans="1:27" ht="13.5">
      <c r="A849" t="s">
        <v>507</v>
      </c>
      <c r="B849">
        <v>4293</v>
      </c>
      <c r="C849">
        <v>4352</v>
      </c>
      <c r="D849" s="13">
        <f t="shared" si="18"/>
        <v>23.630860563018487</v>
      </c>
      <c r="E849" s="61" t="s">
        <v>1931</v>
      </c>
      <c r="F849" s="65">
        <v>70.707183552759091</v>
      </c>
      <c r="G849" s="6">
        <v>360</v>
      </c>
      <c r="H849" s="6">
        <v>348</v>
      </c>
      <c r="I849" s="65">
        <v>-5.4550381767772995</v>
      </c>
      <c r="J849" s="6">
        <f>VLOOKUP($D849,Sheet1!$A$5:$C$192,3,TRUE)</f>
        <v>4</v>
      </c>
      <c r="K849" s="42" t="str">
        <f>VLOOKUP($D849,Sheet1!$A$5:$C$192,2,TRUE)</f>
        <v>/|</v>
      </c>
      <c r="L849" s="6">
        <f>FLOOR(VLOOKUP($D849,Sheet1!$D$5:$F$192,3,TRUE),1)</f>
        <v>10</v>
      </c>
      <c r="M849" s="42" t="str">
        <f>VLOOKUP($D849,Sheet1!$D$5:$F$192,2,TRUE)</f>
        <v>)/|</v>
      </c>
      <c r="N849" s="23">
        <f>FLOOR(VLOOKUP($D849,Sheet1!$G$5:$I$192,3,TRUE),1)</f>
        <v>12</v>
      </c>
      <c r="O849" s="42" t="str">
        <f>VLOOKUP($D849,Sheet1!$G$5:$I$192,2,TRUE)</f>
        <v>'/|</v>
      </c>
      <c r="P849" s="23">
        <v>1</v>
      </c>
      <c r="Q849" s="43" t="str">
        <f>VLOOKUP($D849,Sheet1!$J$5:$L$192,2,TRUE)</f>
        <v>'/|</v>
      </c>
      <c r="R849" s="23">
        <f>FLOOR(VLOOKUP($D849,Sheet1!$M$5:$O$192,3,TRUE),1)</f>
        <v>48</v>
      </c>
      <c r="S849" s="42" t="str">
        <f>VLOOKUP($D849,Sheet1!$M$5:$O$192,2,TRUE)</f>
        <v>'/|</v>
      </c>
      <c r="T849" s="117">
        <f>IF(ABS(D849-VLOOKUP($D849,Sheet1!$M$5:$T$192,8,TRUE))&lt;10^-10,"SoCA",D849-VLOOKUP($D849,Sheet1!$M$5:$T$192,8,TRUE))</f>
        <v>0.17085017836954819</v>
      </c>
      <c r="U849" s="109" t="str">
        <f>IF(VLOOKUP($D849,Sheet1!$M$5:$U$192,9,TRUE)=0,"",IF(ABS(D849-VLOOKUP($D849,Sheet1!$M$5:$U$192,9,TRUE))&lt;10^-10,"Alt.",D849-VLOOKUP($D849,Sheet1!$M$5:$U$192,9,TRUE)))</f>
        <v/>
      </c>
      <c r="V849" s="132">
        <f>$D849-Sheet1!$M$3*$R849</f>
        <v>0.21077347816796177</v>
      </c>
      <c r="Z849" s="6"/>
      <c r="AA849" s="61"/>
    </row>
    <row r="850" spans="1:27" ht="13.5">
      <c r="A850" t="s">
        <v>878</v>
      </c>
      <c r="B850">
        <v>1705</v>
      </c>
      <c r="C850">
        <v>1728</v>
      </c>
      <c r="D850" s="13">
        <f t="shared" si="18"/>
        <v>23.197773902320382</v>
      </c>
      <c r="E850" s="61">
        <v>31</v>
      </c>
      <c r="F850" s="65">
        <v>75.317950413944786</v>
      </c>
      <c r="G850" s="6">
        <v>788</v>
      </c>
      <c r="H850" s="6">
        <v>725</v>
      </c>
      <c r="I850" s="65">
        <v>1.5716285467424913</v>
      </c>
      <c r="J850" s="6">
        <f>VLOOKUP($D850,Sheet1!$A$5:$C$192,3,TRUE)</f>
        <v>4</v>
      </c>
      <c r="K850" s="42" t="str">
        <f>VLOOKUP($D850,Sheet1!$A$5:$C$192,2,TRUE)</f>
        <v>/|</v>
      </c>
      <c r="L850" s="6">
        <f>FLOOR(VLOOKUP($D850,Sheet1!$D$5:$F$192,3,TRUE),1)</f>
        <v>10</v>
      </c>
      <c r="M850" s="42" t="str">
        <f>VLOOKUP($D850,Sheet1!$D$5:$F$192,2,TRUE)</f>
        <v>)/|</v>
      </c>
      <c r="N850" s="23">
        <f>FLOOR(VLOOKUP($D850,Sheet1!$G$5:$I$192,3,TRUE),1)</f>
        <v>12</v>
      </c>
      <c r="O850" s="42" t="str">
        <f>VLOOKUP($D850,Sheet1!$G$5:$I$192,2,TRUE)</f>
        <v>'/|</v>
      </c>
      <c r="P850" s="23">
        <v>1</v>
      </c>
      <c r="Q850" s="43" t="str">
        <f>VLOOKUP($D850,Sheet1!$J$5:$L$192,2,TRUE)</f>
        <v>'/|</v>
      </c>
      <c r="R850" s="23">
        <f>FLOOR(VLOOKUP($D850,Sheet1!$M$5:$O$192,3,TRUE),1)</f>
        <v>48</v>
      </c>
      <c r="S850" s="42" t="str">
        <f>VLOOKUP($D850,Sheet1!$M$5:$O$192,2,TRUE)</f>
        <v>'/|</v>
      </c>
      <c r="T850" s="117">
        <f>IF(ABS(D850-VLOOKUP($D850,Sheet1!$M$5:$T$192,8,TRUE))&lt;10^-10,"SoCA",D850-VLOOKUP($D850,Sheet1!$M$5:$T$192,8,TRUE))</f>
        <v>-0.26223648232855723</v>
      </c>
      <c r="U850" s="109" t="str">
        <f>IF(VLOOKUP($D850,Sheet1!$M$5:$U$192,9,TRUE)=0,"",IF(ABS(D850-VLOOKUP($D850,Sheet1!$M$5:$U$192,9,TRUE))&lt;10^-10,"Alt.",D850-VLOOKUP($D850,Sheet1!$M$5:$U$192,9,TRUE)))</f>
        <v/>
      </c>
      <c r="V850" s="132">
        <f>$D850-Sheet1!$M$3*$R850</f>
        <v>-0.22231318253014365</v>
      </c>
      <c r="Z850" s="6"/>
      <c r="AA850" s="61"/>
    </row>
    <row r="851" spans="1:27" ht="13.5">
      <c r="A851" t="s">
        <v>865</v>
      </c>
      <c r="B851">
        <v>73</v>
      </c>
      <c r="C851">
        <v>74</v>
      </c>
      <c r="D851" s="13">
        <f t="shared" si="18"/>
        <v>23.554568098719155</v>
      </c>
      <c r="E851" s="61" t="s">
        <v>1931</v>
      </c>
      <c r="F851" s="65">
        <v>110.04864911574531</v>
      </c>
      <c r="G851" s="6">
        <v>776</v>
      </c>
      <c r="H851" s="6">
        <v>712</v>
      </c>
      <c r="I851" s="65">
        <v>-1.4503405718018094</v>
      </c>
      <c r="J851" s="6">
        <f>VLOOKUP($D851,Sheet1!$A$5:$C$192,3,TRUE)</f>
        <v>4</v>
      </c>
      <c r="K851" s="42" t="str">
        <f>VLOOKUP($D851,Sheet1!$A$5:$C$192,2,TRUE)</f>
        <v>/|</v>
      </c>
      <c r="L851" s="6">
        <f>FLOOR(VLOOKUP($D851,Sheet1!$D$5:$F$192,3,TRUE),1)</f>
        <v>10</v>
      </c>
      <c r="M851" s="42" t="str">
        <f>VLOOKUP($D851,Sheet1!$D$5:$F$192,2,TRUE)</f>
        <v>)/|</v>
      </c>
      <c r="N851" s="23">
        <f>FLOOR(VLOOKUP($D851,Sheet1!$G$5:$I$192,3,TRUE),1)</f>
        <v>12</v>
      </c>
      <c r="O851" s="42" t="str">
        <f>VLOOKUP($D851,Sheet1!$G$5:$I$192,2,TRUE)</f>
        <v>'/|</v>
      </c>
      <c r="P851" s="23">
        <v>1</v>
      </c>
      <c r="Q851" s="43" t="str">
        <f>VLOOKUP($D851,Sheet1!$J$5:$L$192,2,TRUE)</f>
        <v>'/|</v>
      </c>
      <c r="R851" s="23">
        <f>FLOOR(VLOOKUP($D851,Sheet1!$M$5:$O$192,3,TRUE),1)</f>
        <v>48</v>
      </c>
      <c r="S851" s="42" t="str">
        <f>VLOOKUP($D851,Sheet1!$M$5:$O$192,2,TRUE)</f>
        <v>'/|</v>
      </c>
      <c r="T851" s="117">
        <f>IF(ABS(D851-VLOOKUP($D851,Sheet1!$M$5:$T$192,8,TRUE))&lt;10^-10,"SoCA",D851-VLOOKUP($D851,Sheet1!$M$5:$T$192,8,TRUE))</f>
        <v>9.4557714070216292E-2</v>
      </c>
      <c r="U851" s="109" t="str">
        <f>IF(VLOOKUP($D851,Sheet1!$M$5:$U$192,9,TRUE)=0,"",IF(ABS(D851-VLOOKUP($D851,Sheet1!$M$5:$U$192,9,TRUE))&lt;10^-10,"Alt.",D851-VLOOKUP($D851,Sheet1!$M$5:$U$192,9,TRUE)))</f>
        <v/>
      </c>
      <c r="V851" s="132">
        <f>$D851-Sheet1!$M$3*$R851</f>
        <v>0.13448101386862987</v>
      </c>
      <c r="Z851" s="6"/>
      <c r="AA851" s="61"/>
    </row>
    <row r="852" spans="1:27" ht="13.5">
      <c r="A852" t="s">
        <v>1464</v>
      </c>
      <c r="B852">
        <v>70713</v>
      </c>
      <c r="C852">
        <v>71680</v>
      </c>
      <c r="D852" s="13">
        <f t="shared" si="18"/>
        <v>23.514204517082202</v>
      </c>
      <c r="E852" s="61" t="s">
        <v>1931</v>
      </c>
      <c r="F852" s="65">
        <v>133.90370942404766</v>
      </c>
      <c r="G852" s="6">
        <v>1377</v>
      </c>
      <c r="H852" s="6">
        <v>1313</v>
      </c>
      <c r="I852" s="65">
        <v>-7.4478552390278878</v>
      </c>
      <c r="J852" s="6">
        <f>VLOOKUP($D852,Sheet1!$A$5:$C$192,3,TRUE)</f>
        <v>4</v>
      </c>
      <c r="K852" s="42" t="str">
        <f>VLOOKUP($D852,Sheet1!$A$5:$C$192,2,TRUE)</f>
        <v>/|</v>
      </c>
      <c r="L852" s="6">
        <f>FLOOR(VLOOKUP($D852,Sheet1!$D$5:$F$192,3,TRUE),1)</f>
        <v>10</v>
      </c>
      <c r="M852" s="42" t="str">
        <f>VLOOKUP($D852,Sheet1!$D$5:$F$192,2,TRUE)</f>
        <v>)/|</v>
      </c>
      <c r="N852" s="23">
        <f>FLOOR(VLOOKUP($D852,Sheet1!$G$5:$I$192,3,TRUE),1)</f>
        <v>12</v>
      </c>
      <c r="O852" s="42" t="str">
        <f>VLOOKUP($D852,Sheet1!$G$5:$I$192,2,TRUE)</f>
        <v>'/|</v>
      </c>
      <c r="P852" s="23">
        <v>1</v>
      </c>
      <c r="Q852" s="43" t="str">
        <f>VLOOKUP($D852,Sheet1!$J$5:$L$192,2,TRUE)</f>
        <v>'/|</v>
      </c>
      <c r="R852" s="23">
        <f>FLOOR(VLOOKUP($D852,Sheet1!$M$5:$O$192,3,TRUE),1)</f>
        <v>48</v>
      </c>
      <c r="S852" s="42" t="str">
        <f>VLOOKUP($D852,Sheet1!$M$5:$O$192,2,TRUE)</f>
        <v>'/|</v>
      </c>
      <c r="T852" s="117">
        <f>IF(ABS(D852-VLOOKUP($D852,Sheet1!$M$5:$T$192,8,TRUE))&lt;10^-10,"SoCA",D852-VLOOKUP($D852,Sheet1!$M$5:$T$192,8,TRUE))</f>
        <v>5.419413243326332E-2</v>
      </c>
      <c r="U852" s="109" t="str">
        <f>IF(VLOOKUP($D852,Sheet1!$M$5:$U$192,9,TRUE)=0,"",IF(ABS(D852-VLOOKUP($D852,Sheet1!$M$5:$U$192,9,TRUE))&lt;10^-10,"Alt.",D852-VLOOKUP($D852,Sheet1!$M$5:$U$192,9,TRUE)))</f>
        <v/>
      </c>
      <c r="V852" s="132">
        <f>$D852-Sheet1!$M$3*$R852</f>
        <v>9.4117432231676901E-2</v>
      </c>
      <c r="Z852" s="6"/>
      <c r="AA852" s="61"/>
    </row>
    <row r="853" spans="1:27" ht="13.5">
      <c r="A853" t="s">
        <v>974</v>
      </c>
      <c r="B853">
        <v>957</v>
      </c>
      <c r="C853">
        <v>970</v>
      </c>
      <c r="D853" s="13">
        <f t="shared" si="18"/>
        <v>23.358987106157421</v>
      </c>
      <c r="E853" s="61" t="s">
        <v>1931</v>
      </c>
      <c r="F853" s="65">
        <v>142.10185682496891</v>
      </c>
      <c r="G853" s="6">
        <v>884</v>
      </c>
      <c r="H853" s="6">
        <v>822</v>
      </c>
      <c r="I853" s="65">
        <v>-2.4382979375494336</v>
      </c>
      <c r="J853" s="6">
        <f>VLOOKUP($D853,Sheet1!$A$5:$C$192,3,TRUE)</f>
        <v>4</v>
      </c>
      <c r="K853" s="42" t="str">
        <f>VLOOKUP($D853,Sheet1!$A$5:$C$192,2,TRUE)</f>
        <v>/|</v>
      </c>
      <c r="L853" s="6">
        <f>FLOOR(VLOOKUP($D853,Sheet1!$D$5:$F$192,3,TRUE),1)</f>
        <v>10</v>
      </c>
      <c r="M853" s="42" t="str">
        <f>VLOOKUP($D853,Sheet1!$D$5:$F$192,2,TRUE)</f>
        <v>)/|</v>
      </c>
      <c r="N853" s="23">
        <f>FLOOR(VLOOKUP($D853,Sheet1!$G$5:$I$192,3,TRUE),1)</f>
        <v>12</v>
      </c>
      <c r="O853" s="42" t="str">
        <f>VLOOKUP($D853,Sheet1!$G$5:$I$192,2,TRUE)</f>
        <v>'/|</v>
      </c>
      <c r="P853" s="23">
        <v>1</v>
      </c>
      <c r="Q853" s="43" t="str">
        <f>VLOOKUP($D853,Sheet1!$J$5:$L$192,2,TRUE)</f>
        <v>'/|</v>
      </c>
      <c r="R853" s="23">
        <f>FLOOR(VLOOKUP($D853,Sheet1!$M$5:$O$192,3,TRUE),1)</f>
        <v>48</v>
      </c>
      <c r="S853" s="42" t="str">
        <f>VLOOKUP($D853,Sheet1!$M$5:$O$192,2,TRUE)</f>
        <v>'/|</v>
      </c>
      <c r="T853" s="117">
        <f>IF(ABS(D853-VLOOKUP($D853,Sheet1!$M$5:$T$192,8,TRUE))&lt;10^-10,"SoCA",D853-VLOOKUP($D853,Sheet1!$M$5:$T$192,8,TRUE))</f>
        <v>-0.10102327849151749</v>
      </c>
      <c r="U853" s="109" t="str">
        <f>IF(VLOOKUP($D853,Sheet1!$M$5:$U$192,9,TRUE)=0,"",IF(ABS(D853-VLOOKUP($D853,Sheet1!$M$5:$U$192,9,TRUE))&lt;10^-10,"Alt.",D853-VLOOKUP($D853,Sheet1!$M$5:$U$192,9,TRUE)))</f>
        <v/>
      </c>
      <c r="V853" s="132">
        <f>$D853-Sheet1!$M$3*$R853</f>
        <v>-6.1099978693103907E-2</v>
      </c>
      <c r="Z853" s="6"/>
      <c r="AA853" s="61"/>
    </row>
    <row r="854" spans="1:27" ht="13.5">
      <c r="A854" t="s">
        <v>1363</v>
      </c>
      <c r="B854">
        <v>685503</v>
      </c>
      <c r="C854">
        <v>694784</v>
      </c>
      <c r="D854" s="13">
        <f t="shared" si="18"/>
        <v>23.281861473001943</v>
      </c>
      <c r="E854" s="61" t="s">
        <v>1931</v>
      </c>
      <c r="F854" s="65">
        <v>161.20468432257539</v>
      </c>
      <c r="G854" s="6">
        <v>1277</v>
      </c>
      <c r="H854" s="6">
        <v>1212</v>
      </c>
      <c r="I854" s="65">
        <v>-6.4335490313320713</v>
      </c>
      <c r="J854" s="6">
        <f>VLOOKUP($D854,Sheet1!$A$5:$C$192,3,TRUE)</f>
        <v>4</v>
      </c>
      <c r="K854" s="42" t="str">
        <f>VLOOKUP($D854,Sheet1!$A$5:$C$192,2,TRUE)</f>
        <v>/|</v>
      </c>
      <c r="L854" s="6">
        <f>FLOOR(VLOOKUP($D854,Sheet1!$D$5:$F$192,3,TRUE),1)</f>
        <v>10</v>
      </c>
      <c r="M854" s="42" t="str">
        <f>VLOOKUP($D854,Sheet1!$D$5:$F$192,2,TRUE)</f>
        <v>)/|</v>
      </c>
      <c r="N854" s="23">
        <f>FLOOR(VLOOKUP($D854,Sheet1!$G$5:$I$192,3,TRUE),1)</f>
        <v>12</v>
      </c>
      <c r="O854" s="42" t="str">
        <f>VLOOKUP($D854,Sheet1!$G$5:$I$192,2,TRUE)</f>
        <v>'/|</v>
      </c>
      <c r="P854" s="23">
        <v>1</v>
      </c>
      <c r="Q854" s="43" t="str">
        <f>VLOOKUP($D854,Sheet1!$J$5:$L$192,2,TRUE)</f>
        <v>'/|</v>
      </c>
      <c r="R854" s="23">
        <f>FLOOR(VLOOKUP($D854,Sheet1!$M$5:$O$192,3,TRUE),1)</f>
        <v>48</v>
      </c>
      <c r="S854" s="42" t="str">
        <f>VLOOKUP($D854,Sheet1!$M$5:$O$192,2,TRUE)</f>
        <v>'/|</v>
      </c>
      <c r="T854" s="117">
        <f>IF(ABS(D854-VLOOKUP($D854,Sheet1!$M$5:$T$192,8,TRUE))&lt;10^-10,"SoCA",D854-VLOOKUP($D854,Sheet1!$M$5:$T$192,8,TRUE))</f>
        <v>-0.17814891164699631</v>
      </c>
      <c r="U854" s="109" t="str">
        <f>IF(VLOOKUP($D854,Sheet1!$M$5:$U$192,9,TRUE)=0,"",IF(ABS(D854-VLOOKUP($D854,Sheet1!$M$5:$U$192,9,TRUE))&lt;10^-10,"Alt.",D854-VLOOKUP($D854,Sheet1!$M$5:$U$192,9,TRUE)))</f>
        <v/>
      </c>
      <c r="V854" s="132">
        <f>$D854-Sheet1!$M$3*$R854</f>
        <v>-0.13822561184858273</v>
      </c>
      <c r="Z854" s="6"/>
      <c r="AA854" s="61"/>
    </row>
    <row r="855" spans="1:27" ht="13.5">
      <c r="A855" t="s">
        <v>984</v>
      </c>
      <c r="B855">
        <v>992992</v>
      </c>
      <c r="C855">
        <v>1006587</v>
      </c>
      <c r="D855" s="13">
        <f t="shared" si="18"/>
        <v>23.541445037439363</v>
      </c>
      <c r="E855" s="61">
        <v>43</v>
      </c>
      <c r="F855" s="65">
        <v>167.0987835086747</v>
      </c>
      <c r="G855" s="6">
        <v>896</v>
      </c>
      <c r="H855" s="6">
        <v>832</v>
      </c>
      <c r="I855" s="65">
        <v>2.5504674628911026</v>
      </c>
      <c r="J855" s="6">
        <f>VLOOKUP($D855,Sheet1!$A$5:$C$192,3,TRUE)</f>
        <v>4</v>
      </c>
      <c r="K855" s="42" t="str">
        <f>VLOOKUP($D855,Sheet1!$A$5:$C$192,2,TRUE)</f>
        <v>/|</v>
      </c>
      <c r="L855" s="6">
        <f>FLOOR(VLOOKUP($D855,Sheet1!$D$5:$F$192,3,TRUE),1)</f>
        <v>10</v>
      </c>
      <c r="M855" s="42" t="str">
        <f>VLOOKUP($D855,Sheet1!$D$5:$F$192,2,TRUE)</f>
        <v>)/|</v>
      </c>
      <c r="N855" s="23">
        <f>FLOOR(VLOOKUP($D855,Sheet1!$G$5:$I$192,3,TRUE),1)</f>
        <v>12</v>
      </c>
      <c r="O855" s="42" t="str">
        <f>VLOOKUP($D855,Sheet1!$G$5:$I$192,2,TRUE)</f>
        <v>'/|</v>
      </c>
      <c r="P855" s="23">
        <v>1</v>
      </c>
      <c r="Q855" s="43" t="str">
        <f>VLOOKUP($D855,Sheet1!$J$5:$L$192,2,TRUE)</f>
        <v>'/|</v>
      </c>
      <c r="R855" s="23">
        <f>FLOOR(VLOOKUP($D855,Sheet1!$M$5:$O$192,3,TRUE),1)</f>
        <v>48</v>
      </c>
      <c r="S855" s="42" t="str">
        <f>VLOOKUP($D855,Sheet1!$M$5:$O$192,2,TRUE)</f>
        <v>'/|</v>
      </c>
      <c r="T855" s="117">
        <f>IF(ABS(D855-VLOOKUP($D855,Sheet1!$M$5:$T$192,8,TRUE))&lt;10^-10,"SoCA",D855-VLOOKUP($D855,Sheet1!$M$5:$T$192,8,TRUE))</f>
        <v>8.1434652790424167E-2</v>
      </c>
      <c r="U855" s="109" t="str">
        <f>IF(VLOOKUP($D855,Sheet1!$M$5:$U$192,9,TRUE)=0,"",IF(ABS(D855-VLOOKUP($D855,Sheet1!$M$5:$U$192,9,TRUE))&lt;10^-10,"Alt.",D855-VLOOKUP($D855,Sheet1!$M$5:$U$192,9,TRUE)))</f>
        <v/>
      </c>
      <c r="V855" s="132">
        <f>$D855-Sheet1!$M$3*$R855</f>
        <v>0.12135795258883775</v>
      </c>
      <c r="Z855" s="6"/>
      <c r="AA855" s="61"/>
    </row>
    <row r="856" spans="1:27" ht="13.5">
      <c r="A856" t="s">
        <v>1091</v>
      </c>
      <c r="B856">
        <v>16064</v>
      </c>
      <c r="C856">
        <v>16281</v>
      </c>
      <c r="D856" s="13">
        <f t="shared" si="18"/>
        <v>23.22976813533748</v>
      </c>
      <c r="E856" s="61" t="s">
        <v>1931</v>
      </c>
      <c r="F856" s="65">
        <v>318.69902954412811</v>
      </c>
      <c r="G856" s="6">
        <v>1005</v>
      </c>
      <c r="H856" s="6">
        <v>940</v>
      </c>
      <c r="I856" s="65">
        <v>3.5696585452542915</v>
      </c>
      <c r="J856" s="6">
        <f>VLOOKUP($D856,Sheet1!$A$5:$C$192,3,TRUE)</f>
        <v>4</v>
      </c>
      <c r="K856" s="42" t="str">
        <f>VLOOKUP($D856,Sheet1!$A$5:$C$192,2,TRUE)</f>
        <v>/|</v>
      </c>
      <c r="L856" s="6">
        <f>FLOOR(VLOOKUP($D856,Sheet1!$D$5:$F$192,3,TRUE),1)</f>
        <v>10</v>
      </c>
      <c r="M856" s="42" t="str">
        <f>VLOOKUP($D856,Sheet1!$D$5:$F$192,2,TRUE)</f>
        <v>)/|</v>
      </c>
      <c r="N856" s="23">
        <f>FLOOR(VLOOKUP($D856,Sheet1!$G$5:$I$192,3,TRUE),1)</f>
        <v>12</v>
      </c>
      <c r="O856" s="42" t="str">
        <f>VLOOKUP($D856,Sheet1!$G$5:$I$192,2,TRUE)</f>
        <v>'/|</v>
      </c>
      <c r="P856" s="23">
        <v>1</v>
      </c>
      <c r="Q856" s="43" t="str">
        <f>VLOOKUP($D856,Sheet1!$J$5:$L$192,2,TRUE)</f>
        <v>'/|</v>
      </c>
      <c r="R856" s="23">
        <f>FLOOR(VLOOKUP($D856,Sheet1!$M$5:$O$192,3,TRUE),1)</f>
        <v>48</v>
      </c>
      <c r="S856" s="42" t="str">
        <f>VLOOKUP($D856,Sheet1!$M$5:$O$192,2,TRUE)</f>
        <v>'/|</v>
      </c>
      <c r="T856" s="117">
        <f>IF(ABS(D856-VLOOKUP($D856,Sheet1!$M$5:$T$192,8,TRUE))&lt;10^-10,"SoCA",D856-VLOOKUP($D856,Sheet1!$M$5:$T$192,8,TRUE))</f>
        <v>-0.23024224931145909</v>
      </c>
      <c r="U856" s="109" t="str">
        <f>IF(VLOOKUP($D856,Sheet1!$M$5:$U$192,9,TRUE)=0,"",IF(ABS(D856-VLOOKUP($D856,Sheet1!$M$5:$U$192,9,TRUE))&lt;10^-10,"Alt.",D856-VLOOKUP($D856,Sheet1!$M$5:$U$192,9,TRUE)))</f>
        <v/>
      </c>
      <c r="V856" s="132">
        <f>$D856-Sheet1!$M$3*$R856</f>
        <v>-0.19031894951304551</v>
      </c>
      <c r="Z856" s="6"/>
      <c r="AA856" s="61"/>
    </row>
    <row r="857" spans="1:27" ht="13.5">
      <c r="A857" t="s">
        <v>565</v>
      </c>
      <c r="B857">
        <v>3152</v>
      </c>
      <c r="C857">
        <v>3195</v>
      </c>
      <c r="D857" s="13">
        <f t="shared" si="18"/>
        <v>23.458075653576426</v>
      </c>
      <c r="E857" s="61" t="s">
        <v>1931</v>
      </c>
      <c r="F857" s="65">
        <v>327.68485973459116</v>
      </c>
      <c r="G857" s="6">
        <v>449</v>
      </c>
      <c r="H857" s="6">
        <v>409</v>
      </c>
      <c r="I857" s="65">
        <v>0.55560081958674568</v>
      </c>
      <c r="J857" s="6">
        <f>VLOOKUP($D857,Sheet1!$A$5:$C$192,3,TRUE)</f>
        <v>4</v>
      </c>
      <c r="K857" s="42" t="str">
        <f>VLOOKUP($D857,Sheet1!$A$5:$C$192,2,TRUE)</f>
        <v>/|</v>
      </c>
      <c r="L857" s="6">
        <f>FLOOR(VLOOKUP($D857,Sheet1!$D$5:$F$192,3,TRUE),1)</f>
        <v>10</v>
      </c>
      <c r="M857" s="42" t="str">
        <f>VLOOKUP($D857,Sheet1!$D$5:$F$192,2,TRUE)</f>
        <v>)/|</v>
      </c>
      <c r="N857" s="23">
        <f>FLOOR(VLOOKUP($D857,Sheet1!$G$5:$I$192,3,TRUE),1)</f>
        <v>12</v>
      </c>
      <c r="O857" s="42" t="str">
        <f>VLOOKUP($D857,Sheet1!$G$5:$I$192,2,TRUE)</f>
        <v>'/|</v>
      </c>
      <c r="P857" s="23">
        <v>1</v>
      </c>
      <c r="Q857" s="43" t="str">
        <f>VLOOKUP($D857,Sheet1!$J$5:$L$192,2,TRUE)</f>
        <v>'/|</v>
      </c>
      <c r="R857" s="23">
        <f>FLOOR(VLOOKUP($D857,Sheet1!$M$5:$O$192,3,TRUE),1)</f>
        <v>48</v>
      </c>
      <c r="S857" s="42" t="str">
        <f>VLOOKUP($D857,Sheet1!$M$5:$O$192,2,TRUE)</f>
        <v>'/|</v>
      </c>
      <c r="T857" s="117">
        <f>IF(ABS(D857-VLOOKUP($D857,Sheet1!$M$5:$T$192,8,TRUE))&lt;10^-10,"SoCA",D857-VLOOKUP($D857,Sheet1!$M$5:$T$192,8,TRUE))</f>
        <v>-1.934731072513074E-3</v>
      </c>
      <c r="U857" s="109" t="str">
        <f>IF(VLOOKUP($D857,Sheet1!$M$5:$U$192,9,TRUE)=0,"",IF(ABS(D857-VLOOKUP($D857,Sheet1!$M$5:$U$192,9,TRUE))&lt;10^-10,"Alt.",D857-VLOOKUP($D857,Sheet1!$M$5:$U$192,9,TRUE)))</f>
        <v/>
      </c>
      <c r="V857" s="132">
        <f>$D857-Sheet1!$M$3*$R857</f>
        <v>3.7988568725900507E-2</v>
      </c>
      <c r="Z857" s="6"/>
      <c r="AA857" s="61"/>
    </row>
    <row r="858" spans="1:27" ht="13.5">
      <c r="A858" t="s">
        <v>740</v>
      </c>
      <c r="B858">
        <v>1246</v>
      </c>
      <c r="C858">
        <v>1263</v>
      </c>
      <c r="D858" s="13">
        <f t="shared" si="18"/>
        <v>23.460684916260401</v>
      </c>
      <c r="E858" s="61" t="s">
        <v>1931</v>
      </c>
      <c r="F858" s="65">
        <v>620.45803804456239</v>
      </c>
      <c r="G858" s="6">
        <v>643</v>
      </c>
      <c r="H858" s="6">
        <v>585</v>
      </c>
      <c r="I858" s="65">
        <v>-0.44455984222276834</v>
      </c>
      <c r="J858" s="6">
        <f>VLOOKUP($D858,Sheet1!$A$5:$C$192,3,TRUE)</f>
        <v>4</v>
      </c>
      <c r="K858" s="42" t="str">
        <f>VLOOKUP($D858,Sheet1!$A$5:$C$192,2,TRUE)</f>
        <v>/|</v>
      </c>
      <c r="L858" s="6">
        <f>FLOOR(VLOOKUP($D858,Sheet1!$D$5:$F$192,3,TRUE),1)</f>
        <v>10</v>
      </c>
      <c r="M858" s="42" t="str">
        <f>VLOOKUP($D858,Sheet1!$D$5:$F$192,2,TRUE)</f>
        <v>)/|</v>
      </c>
      <c r="N858" s="23">
        <f>FLOOR(VLOOKUP($D858,Sheet1!$G$5:$I$192,3,TRUE),1)</f>
        <v>12</v>
      </c>
      <c r="O858" s="42" t="str">
        <f>VLOOKUP($D858,Sheet1!$G$5:$I$192,2,TRUE)</f>
        <v>'/|</v>
      </c>
      <c r="P858" s="23">
        <v>1</v>
      </c>
      <c r="Q858" s="43" t="str">
        <f>VLOOKUP($D858,Sheet1!$J$5:$L$192,2,TRUE)</f>
        <v>'/|</v>
      </c>
      <c r="R858" s="23">
        <f>FLOOR(VLOOKUP($D858,Sheet1!$M$5:$O$192,3,TRUE),1)</f>
        <v>48</v>
      </c>
      <c r="S858" s="42" t="str">
        <f>VLOOKUP($D858,Sheet1!$M$5:$O$192,2,TRUE)</f>
        <v>'/|</v>
      </c>
      <c r="T858" s="117">
        <f>IF(ABS(D858-VLOOKUP($D858,Sheet1!$M$5:$T$192,8,TRUE))&lt;10^-10,"SoCA",D858-VLOOKUP($D858,Sheet1!$M$5:$T$192,8,TRUE))</f>
        <v>6.7453161146246998E-4</v>
      </c>
      <c r="U858" s="109" t="str">
        <f>IF(VLOOKUP($D858,Sheet1!$M$5:$U$192,9,TRUE)=0,"",IF(ABS(D858-VLOOKUP($D858,Sheet1!$M$5:$U$192,9,TRUE))&lt;10^-10,"Alt.",D858-VLOOKUP($D858,Sheet1!$M$5:$U$192,9,TRUE)))</f>
        <v/>
      </c>
      <c r="V858" s="132">
        <f>$D858-Sheet1!$M$3*$R858</f>
        <v>4.0597831409876051E-2</v>
      </c>
      <c r="Z858" s="6"/>
      <c r="AA858" s="61"/>
    </row>
    <row r="859" spans="1:27" ht="13.5">
      <c r="A859" s="38" t="s">
        <v>100</v>
      </c>
      <c r="B859" s="38">
        <f>3^5*5</f>
        <v>1215</v>
      </c>
      <c r="C859" s="38">
        <f>2^4*7*11</f>
        <v>1232</v>
      </c>
      <c r="D859" s="13">
        <f t="shared" si="18"/>
        <v>24.05513064210966</v>
      </c>
      <c r="E859" s="61">
        <v>11</v>
      </c>
      <c r="F859" s="65">
        <v>28.678790769855539</v>
      </c>
      <c r="G859" s="6">
        <v>86</v>
      </c>
      <c r="H859" s="6">
        <v>87</v>
      </c>
      <c r="I859" s="65">
        <v>-6.4811620312469955</v>
      </c>
      <c r="J859" s="6">
        <f>VLOOKUP($D859,Sheet1!$A$5:$C$192,3,TRUE)</f>
        <v>4</v>
      </c>
      <c r="K859" s="42" t="str">
        <f>VLOOKUP($D859,Sheet1!$A$5:$C$192,2,TRUE)</f>
        <v>/|</v>
      </c>
      <c r="L859" s="6">
        <f>FLOOR(VLOOKUP($D859,Sheet1!$D$5:$F$192,3,TRUE),1)</f>
        <v>10</v>
      </c>
      <c r="M859" s="42" t="str">
        <f>VLOOKUP($D859,Sheet1!$D$5:$F$192,2,TRUE)</f>
        <v>)/|</v>
      </c>
      <c r="N859" s="23">
        <f>FLOOR(VLOOKUP($D859,Sheet1!$G$5:$I$192,3,TRUE),1)</f>
        <v>13</v>
      </c>
      <c r="O859" s="42" t="str">
        <f>VLOOKUP($D859,Sheet1!$G$5:$I$192,2,TRUE)</f>
        <v>)/|</v>
      </c>
      <c r="P859" s="23">
        <v>1</v>
      </c>
      <c r="Q859" s="45" t="str">
        <f>VLOOKUP($D859,Sheet1!$J$5:$L$192,2,TRUE)</f>
        <v>)/|..</v>
      </c>
      <c r="R859" s="38">
        <f>FLOOR(VLOOKUP($D859,Sheet1!$M$5:$O$192,3,TRUE),1)</f>
        <v>49</v>
      </c>
      <c r="S859" s="45" t="str">
        <f>VLOOKUP($D859,Sheet1!$M$5:$O$192,2,TRUE)</f>
        <v>)/|..</v>
      </c>
      <c r="T859" s="108">
        <f>IF(ABS(D859-VLOOKUP($D859,Sheet1!$M$5:$T$192,8,TRUE))&lt;10^-10,"SoCA",D859-VLOOKUP($D859,Sheet1!$M$5:$T$192,8,TRUE))</f>
        <v>3.346521031485139E-3</v>
      </c>
      <c r="U859" s="108">
        <f>IF(VLOOKUP($D859,Sheet1!$M$5:$U$192,9,TRUE)=0,"",IF(ABS(D859-VLOOKUP($D859,Sheet1!$M$5:$U$192,9,TRUE))&lt;10^-10,"Alt.",D859-VLOOKUP($D859,Sheet1!$M$5:$U$192,9,TRUE)))</f>
        <v>-1.0705646362971777E-2</v>
      </c>
      <c r="V859" s="133">
        <f>$D859-Sheet1!$M$3*$R859</f>
        <v>0.14712507632474825</v>
      </c>
      <c r="Z859" s="6"/>
      <c r="AA859" s="61"/>
    </row>
    <row r="860" spans="1:27" ht="13.5">
      <c r="A860" s="23" t="s">
        <v>970</v>
      </c>
      <c r="B860" s="23">
        <f>3^5*7*19</f>
        <v>32319</v>
      </c>
      <c r="C860" s="23">
        <f>2^15</f>
        <v>32768</v>
      </c>
      <c r="D860" s="13">
        <f t="shared" si="18"/>
        <v>23.886073071635423</v>
      </c>
      <c r="E860" s="61">
        <v>19</v>
      </c>
      <c r="F860" s="65">
        <v>37.510860939656297</v>
      </c>
      <c r="G860" s="6">
        <v>691</v>
      </c>
      <c r="H860" s="6">
        <v>818</v>
      </c>
      <c r="I860" s="65">
        <v>-6.4707525407226347</v>
      </c>
      <c r="J860" s="6">
        <f>VLOOKUP($D860,Sheet1!$A$5:$C$192,3,TRUE)</f>
        <v>4</v>
      </c>
      <c r="K860" s="42" t="str">
        <f>VLOOKUP($D860,Sheet1!$A$5:$C$192,2,TRUE)</f>
        <v>/|</v>
      </c>
      <c r="L860" s="6">
        <f>FLOOR(VLOOKUP($D860,Sheet1!$D$5:$F$192,3,TRUE),1)</f>
        <v>10</v>
      </c>
      <c r="M860" s="42" t="str">
        <f>VLOOKUP($D860,Sheet1!$D$5:$F$192,2,TRUE)</f>
        <v>)/|</v>
      </c>
      <c r="N860" s="23">
        <f>FLOOR(VLOOKUP($D860,Sheet1!$G$5:$I$192,3,TRUE),1)</f>
        <v>12</v>
      </c>
      <c r="O860" s="42" t="str">
        <f>VLOOKUP($D860,Sheet1!$G$5:$I$192,2,TRUE)</f>
        <v>'/|</v>
      </c>
      <c r="P860" s="23">
        <v>1</v>
      </c>
      <c r="Q860" s="43" t="str">
        <f>VLOOKUP($D860,Sheet1!$J$5:$L$192,2,TRUE)</f>
        <v>'/|'</v>
      </c>
      <c r="R860" s="23">
        <f>FLOOR(VLOOKUP($D860,Sheet1!$M$5:$O$192,3,TRUE),1)</f>
        <v>49</v>
      </c>
      <c r="S860" s="43" t="str">
        <f>VLOOKUP($D860,Sheet1!$M$5:$O$192,2,TRUE)</f>
        <v>'/|'</v>
      </c>
      <c r="T860" s="117">
        <f>IF(ABS(D860-VLOOKUP($D860,Sheet1!$M$5:$T$192,8,TRUE))&lt;10^-10,"SoCA",D860-VLOOKUP($D860,Sheet1!$M$5:$T$192,8,TRUE))</f>
        <v>3.346521031659222E-3</v>
      </c>
      <c r="U860" s="109">
        <f>IF(VLOOKUP($D860,Sheet1!$M$5:$U$192,9,TRUE)=0,"",IF(ABS(D860-VLOOKUP($D860,Sheet1!$M$5:$U$192,9,TRUE))&lt;10^-10,"Alt.",D860-VLOOKUP($D860,Sheet1!$M$5:$U$192,9,TRUE)))</f>
        <v>3.0306816234094924E-2</v>
      </c>
      <c r="V860" s="132">
        <f>$D860-Sheet1!$M$3*$R860</f>
        <v>-2.1932494149488946E-2</v>
      </c>
      <c r="Z860" s="6"/>
      <c r="AA860" s="61"/>
    </row>
    <row r="861" spans="1:27" ht="13.5">
      <c r="A861" s="23" t="s">
        <v>768</v>
      </c>
      <c r="B861" s="23">
        <f>2^7*5*7*13</f>
        <v>58240</v>
      </c>
      <c r="C861" s="23">
        <f>3^10</f>
        <v>59049</v>
      </c>
      <c r="D861" s="13">
        <f t="shared" si="18"/>
        <v>23.882726550603707</v>
      </c>
      <c r="E861" s="61">
        <v>13</v>
      </c>
      <c r="F861" s="65">
        <v>52.685849363120838</v>
      </c>
      <c r="G861" s="6">
        <v>565</v>
      </c>
      <c r="H861" s="6">
        <v>614</v>
      </c>
      <c r="I861" s="65">
        <v>8.5294535167693279</v>
      </c>
      <c r="J861" s="6">
        <f>VLOOKUP($D861,Sheet1!$A$5:$C$192,3,TRUE)</f>
        <v>4</v>
      </c>
      <c r="K861" s="42" t="str">
        <f>VLOOKUP($D861,Sheet1!$A$5:$C$192,2,TRUE)</f>
        <v>/|</v>
      </c>
      <c r="L861" s="6">
        <f>FLOOR(VLOOKUP($D861,Sheet1!$D$5:$F$192,3,TRUE),1)</f>
        <v>10</v>
      </c>
      <c r="M861" s="42" t="str">
        <f>VLOOKUP($D861,Sheet1!$D$5:$F$192,2,TRUE)</f>
        <v>)/|</v>
      </c>
      <c r="N861" s="23">
        <f>FLOOR(VLOOKUP($D861,Sheet1!$G$5:$I$192,3,TRUE),1)</f>
        <v>12</v>
      </c>
      <c r="O861" s="42" t="str">
        <f>VLOOKUP($D861,Sheet1!$G$5:$I$192,2,TRUE)</f>
        <v>'/|</v>
      </c>
      <c r="P861" s="23">
        <v>1</v>
      </c>
      <c r="Q861" s="43" t="str">
        <f>VLOOKUP($D861,Sheet1!$J$5:$L$192,2,TRUE)</f>
        <v>'/|'</v>
      </c>
      <c r="R861" s="23">
        <f>FLOOR(VLOOKUP($D861,Sheet1!$M$5:$O$192,3,TRUE),1)</f>
        <v>49</v>
      </c>
      <c r="S861" s="43" t="str">
        <f>VLOOKUP($D861,Sheet1!$M$5:$O$192,2,TRUE)</f>
        <v>'/|'</v>
      </c>
      <c r="T861" s="124" t="str">
        <f>IF(ABS(D861-VLOOKUP($D861,Sheet1!$M$5:$T$192,8,TRUE))&lt;10^-10,"SoCA",D861-VLOOKUP($D861,Sheet1!$M$5:$T$192,8,TRUE))</f>
        <v>SoCA</v>
      </c>
      <c r="U861" s="117">
        <f>IF(VLOOKUP($D861,Sheet1!$M$5:$U$192,9,TRUE)=0,"",IF(ABS(D861-VLOOKUP($D861,Sheet1!$M$5:$U$192,9,TRUE))&lt;10^-10,"Alt.",D861-VLOOKUP($D861,Sheet1!$M$5:$U$192,9,TRUE)))</f>
        <v>2.6960295202378859E-2</v>
      </c>
      <c r="V861" s="132">
        <f>$D861-Sheet1!$M$3*$R861</f>
        <v>-2.5279015181205011E-2</v>
      </c>
      <c r="Z861" s="6"/>
      <c r="AA861" s="61"/>
    </row>
    <row r="862" spans="1:27" ht="13.5">
      <c r="A862" s="38" t="s">
        <v>396</v>
      </c>
      <c r="B862" s="38">
        <f>2^20</f>
        <v>1048576</v>
      </c>
      <c r="C862" s="38">
        <f>3^5*5^4*7</f>
        <v>1063125</v>
      </c>
      <c r="D862" s="13">
        <f t="shared" si="18"/>
        <v>23.855766255401289</v>
      </c>
      <c r="E862" s="61">
        <v>7</v>
      </c>
      <c r="F862" s="65">
        <v>54.405151733051355</v>
      </c>
      <c r="G862" s="6">
        <v>249</v>
      </c>
      <c r="H862" s="6">
        <v>233</v>
      </c>
      <c r="I862" s="65">
        <v>3.5311135603666437</v>
      </c>
      <c r="J862" s="6">
        <f>VLOOKUP($D862,Sheet1!$A$5:$C$192,3,TRUE)</f>
        <v>4</v>
      </c>
      <c r="K862" s="42" t="str">
        <f>VLOOKUP($D862,Sheet1!$A$5:$C$192,2,TRUE)</f>
        <v>/|</v>
      </c>
      <c r="L862" s="6">
        <f>FLOOR(VLOOKUP($D862,Sheet1!$D$5:$F$192,3,TRUE),1)</f>
        <v>10</v>
      </c>
      <c r="M862" s="42" t="str">
        <f>VLOOKUP($D862,Sheet1!$D$5:$F$192,2,TRUE)</f>
        <v>)/|</v>
      </c>
      <c r="N862" s="23">
        <f>FLOOR(VLOOKUP($D862,Sheet1!$G$5:$I$192,3,TRUE),1)</f>
        <v>12</v>
      </c>
      <c r="O862" s="42" t="str">
        <f>VLOOKUP($D862,Sheet1!$G$5:$I$192,2,TRUE)</f>
        <v>'/|</v>
      </c>
      <c r="P862" s="23">
        <v>1</v>
      </c>
      <c r="Q862" s="45" t="str">
        <f>VLOOKUP($D862,Sheet1!$J$5:$L$192,2,TRUE)</f>
        <v>'/|'</v>
      </c>
      <c r="R862" s="38">
        <f>FLOOR(VLOOKUP($D862,Sheet1!$M$5:$O$192,3,TRUE),1)</f>
        <v>49</v>
      </c>
      <c r="S862" s="45" t="str">
        <f>VLOOKUP($D862,Sheet1!$M$5:$O$192,2,TRUE)</f>
        <v>'/|'</v>
      </c>
      <c r="T862" s="108">
        <f>IF(ABS(D862-VLOOKUP($D862,Sheet1!$M$5:$T$192,8,TRUE))&lt;10^-10,"SoCA",D862-VLOOKUP($D862,Sheet1!$M$5:$T$192,8,TRUE))</f>
        <v>-2.6960295202474782E-2</v>
      </c>
      <c r="U862" s="112" t="str">
        <f>IF(VLOOKUP($D862,Sheet1!$M$5:$U$192,9,TRUE)=0,"",IF(ABS(D862-VLOOKUP($D862,Sheet1!$M$5:$U$192,9,TRUE))&lt;10^-10,"Alt.",D862-VLOOKUP($D862,Sheet1!$M$5:$U$192,9,TRUE)))</f>
        <v>Alt.</v>
      </c>
      <c r="V862" s="132">
        <f>$D862-Sheet1!$M$3*$R862</f>
        <v>-5.223931038362295E-2</v>
      </c>
      <c r="Z862" s="6"/>
      <c r="AA862" s="61"/>
    </row>
    <row r="863" spans="1:27" ht="13.5">
      <c r="A863" s="6" t="s">
        <v>373</v>
      </c>
      <c r="B863" s="6">
        <f>2^10*11</f>
        <v>11264</v>
      </c>
      <c r="C863" s="6">
        <f>3^5*47</f>
        <v>11421</v>
      </c>
      <c r="D863" s="13">
        <f t="shared" si="18"/>
        <v>23.963683975345191</v>
      </c>
      <c r="E863" s="61">
        <v>47</v>
      </c>
      <c r="F863" s="65">
        <v>58.492029177831846</v>
      </c>
      <c r="G863" s="6">
        <v>224</v>
      </c>
      <c r="H863" s="6">
        <v>208</v>
      </c>
      <c r="I863" s="65">
        <v>3.524468673184038</v>
      </c>
      <c r="J863" s="6">
        <f>VLOOKUP($D863,Sheet1!$A$5:$C$192,3,TRUE)</f>
        <v>4</v>
      </c>
      <c r="K863" s="42" t="str">
        <f>VLOOKUP($D863,Sheet1!$A$5:$C$192,2,TRUE)</f>
        <v>/|</v>
      </c>
      <c r="L863" s="6">
        <f>FLOOR(VLOOKUP($D863,Sheet1!$D$5:$F$192,3,TRUE),1)</f>
        <v>10</v>
      </c>
      <c r="M863" s="42" t="str">
        <f>VLOOKUP($D863,Sheet1!$D$5:$F$192,2,TRUE)</f>
        <v>)/|</v>
      </c>
      <c r="N863" s="23">
        <f>FLOOR(VLOOKUP($D863,Sheet1!$G$5:$I$192,3,TRUE),1)</f>
        <v>13</v>
      </c>
      <c r="O863" s="42" t="str">
        <f>VLOOKUP($D863,Sheet1!$G$5:$I$192,2,TRUE)</f>
        <v>)/|</v>
      </c>
      <c r="P863" s="23">
        <v>1</v>
      </c>
      <c r="Q863" s="43" t="str">
        <f>VLOOKUP($D863,Sheet1!$J$5:$L$192,2,TRUE)</f>
        <v>)/|..</v>
      </c>
      <c r="R863" s="23">
        <f>FLOOR(VLOOKUP($D863,Sheet1!$M$5:$O$192,3,TRUE),1)</f>
        <v>49</v>
      </c>
      <c r="S863" s="42" t="str">
        <f>VLOOKUP($D863,Sheet1!$M$5:$O$192,2,TRUE)</f>
        <v>)/|..</v>
      </c>
      <c r="T863" s="117">
        <f>IF(ABS(D863-VLOOKUP($D863,Sheet1!$M$5:$T$192,8,TRUE))&lt;10^-10,"SoCA",D863-VLOOKUP($D863,Sheet1!$M$5:$T$192,8,TRUE))</f>
        <v>-8.8100145732983748E-2</v>
      </c>
      <c r="U863" s="109">
        <f>IF(VLOOKUP($D863,Sheet1!$M$5:$U$192,9,TRUE)=0,"",IF(ABS(D863-VLOOKUP($D863,Sheet1!$M$5:$U$192,9,TRUE))&lt;10^-10,"Alt.",D863-VLOOKUP($D863,Sheet1!$M$5:$U$192,9,TRUE)))</f>
        <v>-0.10215231312744066</v>
      </c>
      <c r="V863" s="132">
        <f>$D863-Sheet1!$M$3*$R863</f>
        <v>5.5678409560279363E-2</v>
      </c>
      <c r="Z863" s="6"/>
      <c r="AA863" s="61"/>
    </row>
    <row r="864" spans="1:27" ht="13.5">
      <c r="A864" t="s">
        <v>1086</v>
      </c>
      <c r="B864">
        <v>86528</v>
      </c>
      <c r="C864">
        <v>87723</v>
      </c>
      <c r="D864" s="13">
        <f t="shared" si="18"/>
        <v>23.745713052920909</v>
      </c>
      <c r="E864" s="61">
        <v>19</v>
      </c>
      <c r="F864" s="65">
        <v>64.504727490408499</v>
      </c>
      <c r="G864" s="6">
        <v>1000</v>
      </c>
      <c r="H864" s="6">
        <v>935</v>
      </c>
      <c r="I864" s="65">
        <v>3.5378899369890062</v>
      </c>
      <c r="J864" s="6">
        <f>VLOOKUP($D864,Sheet1!$A$5:$C$192,3,TRUE)</f>
        <v>4</v>
      </c>
      <c r="K864" s="42" t="str">
        <f>VLOOKUP($D864,Sheet1!$A$5:$C$192,2,TRUE)</f>
        <v>/|</v>
      </c>
      <c r="L864" s="6">
        <f>FLOOR(VLOOKUP($D864,Sheet1!$D$5:$F$192,3,TRUE),1)</f>
        <v>10</v>
      </c>
      <c r="M864" s="42" t="str">
        <f>VLOOKUP($D864,Sheet1!$D$5:$F$192,2,TRUE)</f>
        <v>)/|</v>
      </c>
      <c r="N864" s="23">
        <f>FLOOR(VLOOKUP($D864,Sheet1!$G$5:$I$192,3,TRUE),1)</f>
        <v>12</v>
      </c>
      <c r="O864" s="42" t="str">
        <f>VLOOKUP($D864,Sheet1!$G$5:$I$192,2,TRUE)</f>
        <v>'/|</v>
      </c>
      <c r="P864" s="23">
        <v>1</v>
      </c>
      <c r="Q864" s="43" t="str">
        <f>VLOOKUP($D864,Sheet1!$J$5:$L$192,2,TRUE)</f>
        <v>'/|'</v>
      </c>
      <c r="R864" s="23">
        <f>FLOOR(VLOOKUP($D864,Sheet1!$M$5:$O$192,3,TRUE),1)</f>
        <v>49</v>
      </c>
      <c r="S864" s="42" t="str">
        <f>VLOOKUP($D864,Sheet1!$M$5:$O$192,2,TRUE)</f>
        <v>'/|'</v>
      </c>
      <c r="T864" s="117">
        <f>IF(ABS(D864-VLOOKUP($D864,Sheet1!$M$5:$T$192,8,TRUE))&lt;10^-10,"SoCA",D864-VLOOKUP($D864,Sheet1!$M$5:$T$192,8,TRUE))</f>
        <v>-0.13701349768285453</v>
      </c>
      <c r="U864" s="109">
        <f>IF(VLOOKUP($D864,Sheet1!$M$5:$U$192,9,TRUE)=0,"",IF(ABS(D864-VLOOKUP($D864,Sheet1!$M$5:$U$192,9,TRUE))&lt;10^-10,"Alt.",D864-VLOOKUP($D864,Sheet1!$M$5:$U$192,9,TRUE)))</f>
        <v>-0.11005320248041883</v>
      </c>
      <c r="V864" s="132">
        <f>$D864-Sheet1!$M$3*$R864</f>
        <v>-0.1622925128640027</v>
      </c>
      <c r="Z864" s="6"/>
      <c r="AA864" s="61"/>
    </row>
    <row r="865" spans="1:27" ht="13.5">
      <c r="A865" s="6" t="s">
        <v>1887</v>
      </c>
      <c r="B865">
        <v>767637</v>
      </c>
      <c r="C865">
        <v>778240</v>
      </c>
      <c r="D865" s="13">
        <f t="shared" si="18"/>
        <v>23.749059573952664</v>
      </c>
      <c r="E865" s="61">
        <v>19</v>
      </c>
      <c r="F865" s="65">
        <v>83.314970344004593</v>
      </c>
      <c r="G865" s="59">
        <v>1723</v>
      </c>
      <c r="H865" s="63">
        <v>1000092</v>
      </c>
      <c r="I865" s="65">
        <v>-11.462316120502958</v>
      </c>
      <c r="J865" s="6">
        <f>VLOOKUP($D865,Sheet1!$A$5:$C$192,3,TRUE)</f>
        <v>4</v>
      </c>
      <c r="K865" s="42" t="str">
        <f>VLOOKUP($D865,Sheet1!$A$5:$C$192,2,TRUE)</f>
        <v>/|</v>
      </c>
      <c r="L865" s="6">
        <f>FLOOR(VLOOKUP($D865,Sheet1!$D$5:$F$192,3,TRUE),1)</f>
        <v>10</v>
      </c>
      <c r="M865" s="42" t="str">
        <f>VLOOKUP($D865,Sheet1!$D$5:$F$192,2,TRUE)</f>
        <v>)/|</v>
      </c>
      <c r="N865" s="23">
        <f>FLOOR(VLOOKUP($D865,Sheet1!$G$5:$I$192,3,TRUE),1)</f>
        <v>12</v>
      </c>
      <c r="O865" s="42" t="str">
        <f>VLOOKUP($D865,Sheet1!$G$5:$I$192,2,TRUE)</f>
        <v>'/|</v>
      </c>
      <c r="P865" s="23">
        <v>1</v>
      </c>
      <c r="Q865" s="43" t="str">
        <f>VLOOKUP($D865,Sheet1!$J$5:$L$192,2,TRUE)</f>
        <v>'/|'</v>
      </c>
      <c r="R865" s="23">
        <f>FLOOR(VLOOKUP($D865,Sheet1!$M$5:$O$192,3,TRUE),1)</f>
        <v>49</v>
      </c>
      <c r="S865" s="42" t="str">
        <f>VLOOKUP($D865,Sheet1!$M$5:$O$192,2,TRUE)</f>
        <v>'/|'</v>
      </c>
      <c r="T865" s="117">
        <f>IF(ABS(D865-VLOOKUP($D865,Sheet1!$M$5:$T$192,8,TRUE))&lt;10^-10,"SoCA",D865-VLOOKUP($D865,Sheet1!$M$5:$T$192,8,TRUE))</f>
        <v>-0.13366697665109939</v>
      </c>
      <c r="U865" s="109">
        <f>IF(VLOOKUP($D865,Sheet1!$M$5:$U$192,9,TRUE)=0,"",IF(ABS(D865-VLOOKUP($D865,Sheet1!$M$5:$U$192,9,TRUE))&lt;10^-10,"Alt.",D865-VLOOKUP($D865,Sheet1!$M$5:$U$192,9,TRUE)))</f>
        <v>-0.10670668144866369</v>
      </c>
      <c r="V865" s="132">
        <f>$D865-Sheet1!$M$3*$R865</f>
        <v>-0.15894599183224756</v>
      </c>
      <c r="Z865" s="6"/>
      <c r="AA865" s="61"/>
    </row>
    <row r="866" spans="1:27" ht="13.5">
      <c r="A866" t="s">
        <v>978</v>
      </c>
      <c r="B866">
        <v>12000</v>
      </c>
      <c r="C866">
        <v>12167</v>
      </c>
      <c r="D866" s="13">
        <f t="shared" si="18"/>
        <v>23.926899345354318</v>
      </c>
      <c r="E866" s="61">
        <v>23</v>
      </c>
      <c r="F866" s="65">
        <v>84.092928380381295</v>
      </c>
      <c r="G866" s="6">
        <v>890</v>
      </c>
      <c r="H866" s="6">
        <v>826</v>
      </c>
      <c r="I866" s="65">
        <v>-2.4732663631337202</v>
      </c>
      <c r="J866" s="6">
        <f>VLOOKUP($D866,Sheet1!$A$5:$C$192,3,TRUE)</f>
        <v>4</v>
      </c>
      <c r="K866" s="42" t="str">
        <f>VLOOKUP($D866,Sheet1!$A$5:$C$192,2,TRUE)</f>
        <v>/|</v>
      </c>
      <c r="L866" s="6">
        <f>FLOOR(VLOOKUP($D866,Sheet1!$D$5:$F$192,3,TRUE),1)</f>
        <v>10</v>
      </c>
      <c r="M866" s="42" t="str">
        <f>VLOOKUP($D866,Sheet1!$D$5:$F$192,2,TRUE)</f>
        <v>)/|</v>
      </c>
      <c r="N866" s="23">
        <f>FLOOR(VLOOKUP($D866,Sheet1!$G$5:$I$192,3,TRUE),1)</f>
        <v>12</v>
      </c>
      <c r="O866" s="42" t="str">
        <f>VLOOKUP($D866,Sheet1!$G$5:$I$192,2,TRUE)</f>
        <v>'/|</v>
      </c>
      <c r="P866" s="23">
        <v>1</v>
      </c>
      <c r="Q866" s="43" t="str">
        <f>VLOOKUP($D866,Sheet1!$J$5:$L$192,2,TRUE)</f>
        <v>'/|'</v>
      </c>
      <c r="R866" s="23">
        <f>FLOOR(VLOOKUP($D866,Sheet1!$M$5:$O$192,3,TRUE),1)</f>
        <v>49</v>
      </c>
      <c r="S866" s="42" t="str">
        <f>VLOOKUP($D866,Sheet1!$M$5:$O$192,2,TRUE)</f>
        <v>'/|'</v>
      </c>
      <c r="T866" s="117">
        <f>IF(ABS(D866-VLOOKUP($D866,Sheet1!$M$5:$T$192,8,TRUE))&lt;10^-10,"SoCA",D866-VLOOKUP($D866,Sheet1!$M$5:$T$192,8,TRUE))</f>
        <v>4.41727947505548E-2</v>
      </c>
      <c r="U866" s="109">
        <f>IF(VLOOKUP($D866,Sheet1!$M$5:$U$192,9,TRUE)=0,"",IF(ABS(D866-VLOOKUP($D866,Sheet1!$M$5:$U$192,9,TRUE))&lt;10^-10,"Alt.",D866-VLOOKUP($D866,Sheet1!$M$5:$U$192,9,TRUE)))</f>
        <v>7.1133089952990503E-2</v>
      </c>
      <c r="V866" s="132">
        <f>$D866-Sheet1!$M$3*$R866</f>
        <v>1.8893779569406632E-2</v>
      </c>
      <c r="Z866" s="6"/>
      <c r="AA866" s="61"/>
    </row>
    <row r="867" spans="1:27" ht="13.5">
      <c r="A867" t="s">
        <v>488</v>
      </c>
      <c r="B867">
        <v>72</v>
      </c>
      <c r="C867">
        <v>73</v>
      </c>
      <c r="D867" s="13">
        <f t="shared" si="18"/>
        <v>23.879468925245757</v>
      </c>
      <c r="E867" s="61" t="s">
        <v>1931</v>
      </c>
      <c r="F867" s="65">
        <v>87.779878500939731</v>
      </c>
      <c r="G867" s="6">
        <v>355</v>
      </c>
      <c r="H867" s="6">
        <v>329</v>
      </c>
      <c r="I867" s="65">
        <v>-3.4703458993692076</v>
      </c>
      <c r="J867" s="6">
        <f>VLOOKUP($D867,Sheet1!$A$5:$C$192,3,TRUE)</f>
        <v>4</v>
      </c>
      <c r="K867" s="42" t="str">
        <f>VLOOKUP($D867,Sheet1!$A$5:$C$192,2,TRUE)</f>
        <v>/|</v>
      </c>
      <c r="L867" s="6">
        <f>FLOOR(VLOOKUP($D867,Sheet1!$D$5:$F$192,3,TRUE),1)</f>
        <v>10</v>
      </c>
      <c r="M867" s="42" t="str">
        <f>VLOOKUP($D867,Sheet1!$D$5:$F$192,2,TRUE)</f>
        <v>)/|</v>
      </c>
      <c r="N867" s="23">
        <f>FLOOR(VLOOKUP($D867,Sheet1!$G$5:$I$192,3,TRUE),1)</f>
        <v>12</v>
      </c>
      <c r="O867" s="42" t="str">
        <f>VLOOKUP($D867,Sheet1!$G$5:$I$192,2,TRUE)</f>
        <v>'/|</v>
      </c>
      <c r="P867" s="23">
        <v>1</v>
      </c>
      <c r="Q867" s="43" t="str">
        <f>VLOOKUP($D867,Sheet1!$J$5:$L$192,2,TRUE)</f>
        <v>'/|'</v>
      </c>
      <c r="R867" s="23">
        <f>FLOOR(VLOOKUP($D867,Sheet1!$M$5:$O$192,3,TRUE),1)</f>
        <v>49</v>
      </c>
      <c r="S867" s="42" t="str">
        <f>VLOOKUP($D867,Sheet1!$M$5:$O$192,2,TRUE)</f>
        <v>'/|'</v>
      </c>
      <c r="T867" s="117">
        <f>IF(ABS(D867-VLOOKUP($D867,Sheet1!$M$5:$T$192,8,TRUE))&lt;10^-10,"SoCA",D867-VLOOKUP($D867,Sheet1!$M$5:$T$192,8,TRUE))</f>
        <v>-3.2576253580067771E-3</v>
      </c>
      <c r="U867" s="109">
        <f>IF(VLOOKUP($D867,Sheet1!$M$5:$U$192,9,TRUE)=0,"",IF(ABS(D867-VLOOKUP($D867,Sheet1!$M$5:$U$192,9,TRUE))&lt;10^-10,"Alt.",D867-VLOOKUP($D867,Sheet1!$M$5:$U$192,9,TRUE)))</f>
        <v>2.3702669844428925E-2</v>
      </c>
      <c r="V867" s="132">
        <f>$D867-Sheet1!$M$3*$R867</f>
        <v>-2.8536640539154945E-2</v>
      </c>
      <c r="Z867" s="6"/>
      <c r="AA867" s="61"/>
    </row>
    <row r="868" spans="1:27" ht="13.5">
      <c r="A868" t="s">
        <v>777</v>
      </c>
      <c r="B868">
        <v>1216</v>
      </c>
      <c r="C868">
        <v>1233</v>
      </c>
      <c r="D868" s="13">
        <f t="shared" si="18"/>
        <v>24.035485151104222</v>
      </c>
      <c r="E868" s="61" t="s">
        <v>1931</v>
      </c>
      <c r="F868" s="65">
        <v>156.0759867841987</v>
      </c>
      <c r="G868" s="6">
        <v>664</v>
      </c>
      <c r="H868" s="6">
        <v>623</v>
      </c>
      <c r="I868" s="65">
        <v>0.5200476132066294</v>
      </c>
      <c r="J868" s="6">
        <f>VLOOKUP($D868,Sheet1!$A$5:$C$192,3,TRUE)</f>
        <v>4</v>
      </c>
      <c r="K868" s="42" t="str">
        <f>VLOOKUP($D868,Sheet1!$A$5:$C$192,2,TRUE)</f>
        <v>/|</v>
      </c>
      <c r="L868" s="6">
        <f>FLOOR(VLOOKUP($D868,Sheet1!$D$5:$F$192,3,TRUE),1)</f>
        <v>10</v>
      </c>
      <c r="M868" s="42" t="str">
        <f>VLOOKUP($D868,Sheet1!$D$5:$F$192,2,TRUE)</f>
        <v>)/|</v>
      </c>
      <c r="N868" s="23">
        <f>FLOOR(VLOOKUP($D868,Sheet1!$G$5:$I$192,3,TRUE),1)</f>
        <v>13</v>
      </c>
      <c r="O868" s="42" t="str">
        <f>VLOOKUP($D868,Sheet1!$G$5:$I$192,2,TRUE)</f>
        <v>)/|</v>
      </c>
      <c r="P868" s="23">
        <v>1</v>
      </c>
      <c r="Q868" s="43" t="str">
        <f>VLOOKUP($D868,Sheet1!$J$5:$L$192,2,TRUE)</f>
        <v>)/|..</v>
      </c>
      <c r="R868" s="23">
        <f>FLOOR(VLOOKUP($D868,Sheet1!$M$5:$O$192,3,TRUE),1)</f>
        <v>49</v>
      </c>
      <c r="S868" s="42" t="str">
        <f>VLOOKUP($D868,Sheet1!$M$5:$O$192,2,TRUE)</f>
        <v>)/|..</v>
      </c>
      <c r="T868" s="117">
        <f>IF(ABS(D868-VLOOKUP($D868,Sheet1!$M$5:$T$192,8,TRUE))&lt;10^-10,"SoCA",D868-VLOOKUP($D868,Sheet1!$M$5:$T$192,8,TRUE))</f>
        <v>-1.6298969973952637E-2</v>
      </c>
      <c r="U868" s="109">
        <f>IF(VLOOKUP($D868,Sheet1!$M$5:$U$192,9,TRUE)=0,"",IF(ABS(D868-VLOOKUP($D868,Sheet1!$M$5:$U$192,9,TRUE))&lt;10^-10,"Alt.",D868-VLOOKUP($D868,Sheet1!$M$5:$U$192,9,TRUE)))</f>
        <v>-3.0351137368409553E-2</v>
      </c>
      <c r="V868" s="132">
        <f>$D868-Sheet1!$M$3*$R868</f>
        <v>0.12747958531931047</v>
      </c>
      <c r="Z868" s="6"/>
      <c r="AA868" s="61"/>
    </row>
    <row r="869" spans="1:27" ht="13.5">
      <c r="A869" t="s">
        <v>1562</v>
      </c>
      <c r="B869">
        <v>264627</v>
      </c>
      <c r="C869">
        <v>268288</v>
      </c>
      <c r="D869" s="13">
        <f t="shared" si="18"/>
        <v>23.786711057715078</v>
      </c>
      <c r="E869" s="61" t="s">
        <v>1931</v>
      </c>
      <c r="F869" s="65">
        <v>190.30441606427925</v>
      </c>
      <c r="G869" s="6">
        <v>1468</v>
      </c>
      <c r="H869" s="6">
        <v>1411</v>
      </c>
      <c r="I869" s="65">
        <v>-8.4646344595300338</v>
      </c>
      <c r="J869" s="6">
        <f>VLOOKUP($D869,Sheet1!$A$5:$C$192,3,TRUE)</f>
        <v>4</v>
      </c>
      <c r="K869" s="42" t="str">
        <f>VLOOKUP($D869,Sheet1!$A$5:$C$192,2,TRUE)</f>
        <v>/|</v>
      </c>
      <c r="L869" s="6">
        <f>FLOOR(VLOOKUP($D869,Sheet1!$D$5:$F$192,3,TRUE),1)</f>
        <v>10</v>
      </c>
      <c r="M869" s="42" t="str">
        <f>VLOOKUP($D869,Sheet1!$D$5:$F$192,2,TRUE)</f>
        <v>)/|</v>
      </c>
      <c r="N869" s="23">
        <f>FLOOR(VLOOKUP($D869,Sheet1!$G$5:$I$192,3,TRUE),1)</f>
        <v>12</v>
      </c>
      <c r="O869" s="42" t="str">
        <f>VLOOKUP($D869,Sheet1!$G$5:$I$192,2,TRUE)</f>
        <v>'/|</v>
      </c>
      <c r="P869" s="23">
        <v>1</v>
      </c>
      <c r="Q869" s="43" t="str">
        <f>VLOOKUP($D869,Sheet1!$J$5:$L$192,2,TRUE)</f>
        <v>'/|'</v>
      </c>
      <c r="R869" s="23">
        <f>FLOOR(VLOOKUP($D869,Sheet1!$M$5:$O$192,3,TRUE),1)</f>
        <v>49</v>
      </c>
      <c r="S869" s="42" t="str">
        <f>VLOOKUP($D869,Sheet1!$M$5:$O$192,2,TRUE)</f>
        <v>'/|'</v>
      </c>
      <c r="T869" s="117">
        <f>IF(ABS(D869-VLOOKUP($D869,Sheet1!$M$5:$T$192,8,TRUE))&lt;10^-10,"SoCA",D869-VLOOKUP($D869,Sheet1!$M$5:$T$192,8,TRUE))</f>
        <v>-9.6015492888685827E-2</v>
      </c>
      <c r="U869" s="109">
        <f>IF(VLOOKUP($D869,Sheet1!$M$5:$U$192,9,TRUE)=0,"",IF(ABS(D869-VLOOKUP($D869,Sheet1!$M$5:$U$192,9,TRUE))&lt;10^-10,"Alt.",D869-VLOOKUP($D869,Sheet1!$M$5:$U$192,9,TRUE)))</f>
        <v>-6.9055197686250125E-2</v>
      </c>
      <c r="V869" s="132">
        <f>$D869-Sheet1!$M$3*$R869</f>
        <v>-0.121294508069834</v>
      </c>
      <c r="Z869" s="6"/>
      <c r="AA869" s="61"/>
    </row>
    <row r="870" spans="1:27" ht="13.5">
      <c r="A870" t="s">
        <v>873</v>
      </c>
      <c r="B870">
        <v>3488</v>
      </c>
      <c r="C870">
        <v>3537</v>
      </c>
      <c r="D870" s="13">
        <f t="shared" si="18"/>
        <v>24.151414708791087</v>
      </c>
      <c r="E870" s="61" t="s">
        <v>1931</v>
      </c>
      <c r="F870" s="65">
        <v>240.16455729806475</v>
      </c>
      <c r="G870" s="6">
        <v>784</v>
      </c>
      <c r="H870" s="6">
        <v>720</v>
      </c>
      <c r="I870" s="65">
        <v>1.5129094079854759</v>
      </c>
      <c r="J870" s="6">
        <f>VLOOKUP($D870,Sheet1!$A$5:$C$192,3,TRUE)</f>
        <v>4</v>
      </c>
      <c r="K870" s="42" t="str">
        <f>VLOOKUP($D870,Sheet1!$A$5:$C$192,2,TRUE)</f>
        <v>/|</v>
      </c>
      <c r="L870" s="6">
        <f>FLOOR(VLOOKUP($D870,Sheet1!$D$5:$F$192,3,TRUE),1)</f>
        <v>10</v>
      </c>
      <c r="M870" s="42" t="str">
        <f>VLOOKUP($D870,Sheet1!$D$5:$F$192,2,TRUE)</f>
        <v>)/|</v>
      </c>
      <c r="N870" s="23">
        <f>FLOOR(VLOOKUP($D870,Sheet1!$G$5:$I$192,3,TRUE),1)</f>
        <v>13</v>
      </c>
      <c r="O870" s="42" t="str">
        <f>VLOOKUP($D870,Sheet1!$G$5:$I$192,2,TRUE)</f>
        <v>)/|</v>
      </c>
      <c r="P870" s="23">
        <v>1</v>
      </c>
      <c r="Q870" s="43" t="str">
        <f>VLOOKUP($D870,Sheet1!$J$5:$L$192,2,TRUE)</f>
        <v>)/|..</v>
      </c>
      <c r="R870" s="23">
        <f>FLOOR(VLOOKUP($D870,Sheet1!$M$5:$O$192,3,TRUE),1)</f>
        <v>49</v>
      </c>
      <c r="S870" s="42" t="str">
        <f>VLOOKUP($D870,Sheet1!$M$5:$O$192,2,TRUE)</f>
        <v>)/|..</v>
      </c>
      <c r="T870" s="117">
        <f>IF(ABS(D870-VLOOKUP($D870,Sheet1!$M$5:$T$192,8,TRUE))&lt;10^-10,"SoCA",D870-VLOOKUP($D870,Sheet1!$M$5:$T$192,8,TRUE))</f>
        <v>9.9630587712912444E-2</v>
      </c>
      <c r="U870" s="109">
        <f>IF(VLOOKUP($D870,Sheet1!$M$5:$U$192,9,TRUE)=0,"",IF(ABS(D870-VLOOKUP($D870,Sheet1!$M$5:$U$192,9,TRUE))&lt;10^-10,"Alt.",D870-VLOOKUP($D870,Sheet1!$M$5:$U$192,9,TRUE)))</f>
        <v>8.5578420318455528E-2</v>
      </c>
      <c r="V870" s="132">
        <f>$D870-Sheet1!$M$3*$R870</f>
        <v>0.24340914300617555</v>
      </c>
      <c r="Z870" s="6"/>
      <c r="AA870" s="61"/>
    </row>
    <row r="871" spans="1:27" ht="13.5">
      <c r="A871" s="38" t="s">
        <v>871</v>
      </c>
      <c r="B871" s="38">
        <f>2^8*13</f>
        <v>3328</v>
      </c>
      <c r="C871" s="38">
        <f>3^3*5^3</f>
        <v>3375</v>
      </c>
      <c r="D871" s="13">
        <f t="shared" si="18"/>
        <v>24.278482421356287</v>
      </c>
      <c r="E871" s="61">
        <v>13</v>
      </c>
      <c r="F871" s="65">
        <v>39.301822237651699</v>
      </c>
      <c r="G871" s="6">
        <v>782</v>
      </c>
      <c r="H871" s="6">
        <v>718</v>
      </c>
      <c r="I871" s="65">
        <v>1.5050853859899553</v>
      </c>
      <c r="J871" s="6">
        <f>VLOOKUP($D871,Sheet1!$A$5:$C$192,3,TRUE)</f>
        <v>5</v>
      </c>
      <c r="K871" s="42" t="str">
        <f>VLOOKUP($D871,Sheet1!$A$5:$C$192,2,TRUE)</f>
        <v>|)</v>
      </c>
      <c r="L871" s="6">
        <f>FLOOR(VLOOKUP($D871,Sheet1!$D$5:$F$192,3,TRUE),1)</f>
        <v>10</v>
      </c>
      <c r="M871" s="42" t="str">
        <f>VLOOKUP($D871,Sheet1!$D$5:$F$192,2,TRUE)</f>
        <v>)/|</v>
      </c>
      <c r="N871" s="23">
        <f>FLOOR(VLOOKUP($D871,Sheet1!$G$5:$I$192,3,TRUE),1)</f>
        <v>13</v>
      </c>
      <c r="O871" s="42" t="str">
        <f>VLOOKUP($D871,Sheet1!$G$5:$I$192,2,TRUE)</f>
        <v>)/|</v>
      </c>
      <c r="P871" s="23">
        <v>1</v>
      </c>
      <c r="Q871" s="45" t="str">
        <f>VLOOKUP($D871,Sheet1!$J$5:$L$192,2,TRUE)</f>
        <v>)/|.</v>
      </c>
      <c r="R871" s="38">
        <f>FLOOR(VLOOKUP($D871,Sheet1!$M$5:$O$192,3,TRUE),1)</f>
        <v>50</v>
      </c>
      <c r="S871" s="45" t="str">
        <f>VLOOKUP($D871,Sheet1!$M$5:$O$192,2,TRUE)</f>
        <v>)/|.</v>
      </c>
      <c r="T871" s="108">
        <f>IF(ABS(D871-VLOOKUP($D871,Sheet1!$M$5:$T$192,8,TRUE))&lt;10^-10,"SoCA",D871-VLOOKUP($D871,Sheet1!$M$5:$T$192,8,TRUE))</f>
        <v>-0.18310973786866214</v>
      </c>
      <c r="U871" s="108">
        <f>IF(VLOOKUP($D871,Sheet1!$M$5:$U$192,9,TRUE)=0,"",IF(ABS(D871-VLOOKUP($D871,Sheet1!$M$5:$U$192,9,TRUE))&lt;10^-10,"Alt.",D871-VLOOKUP($D871,Sheet1!$M$5:$U$192,9,TRUE)))</f>
        <v>-0.21007003307109784</v>
      </c>
      <c r="V871" s="133">
        <f>$D871-Sheet1!$M$3*$R871</f>
        <v>-0.11744162536301062</v>
      </c>
      <c r="Z871" s="6"/>
      <c r="AA871" s="61"/>
    </row>
    <row r="872" spans="1:27" ht="13.5">
      <c r="A872" s="101" t="s">
        <v>102</v>
      </c>
      <c r="B872" s="21">
        <f>3^3*11*17</f>
        <v>5049</v>
      </c>
      <c r="C872" s="102">
        <f>2^10*5</f>
        <v>5120</v>
      </c>
      <c r="D872" s="13">
        <f t="shared" si="18"/>
        <v>24.175359403508427</v>
      </c>
      <c r="E872" s="61">
        <v>17</v>
      </c>
      <c r="F872" s="65">
        <v>39.899017782328912</v>
      </c>
      <c r="G872" s="6">
        <v>384</v>
      </c>
      <c r="H872" s="6">
        <v>362</v>
      </c>
      <c r="I872" s="65">
        <v>-4.4885649541035431</v>
      </c>
      <c r="J872" s="6">
        <f>VLOOKUP($D872,Sheet1!$A$5:$C$192,3,TRUE)</f>
        <v>5</v>
      </c>
      <c r="K872" s="42" t="str">
        <f>VLOOKUP($D872,Sheet1!$A$5:$C$192,2,TRUE)</f>
        <v>|)</v>
      </c>
      <c r="L872" s="6">
        <f>FLOOR(VLOOKUP($D872,Sheet1!$D$5:$F$192,3,TRUE),1)</f>
        <v>10</v>
      </c>
      <c r="M872" s="42" t="str">
        <f>VLOOKUP($D872,Sheet1!$D$5:$F$192,2,TRUE)</f>
        <v>)/|</v>
      </c>
      <c r="N872" s="23">
        <f>FLOOR(VLOOKUP($D872,Sheet1!$G$5:$I$192,3,TRUE),1)</f>
        <v>13</v>
      </c>
      <c r="O872" s="42" t="str">
        <f>VLOOKUP($D872,Sheet1!$G$5:$I$192,2,TRUE)</f>
        <v>)/|</v>
      </c>
      <c r="P872" s="23">
        <v>1</v>
      </c>
      <c r="Q872" s="43" t="str">
        <f>VLOOKUP($D872,Sheet1!$J$5:$L$192,2,TRUE)</f>
        <v>)/|.</v>
      </c>
      <c r="R872" s="23">
        <f>FLOOR(VLOOKUP($D872,Sheet1!$M$5:$O$192,3,TRUE),1)</f>
        <v>50</v>
      </c>
      <c r="S872" s="43" t="str">
        <f>VLOOKUP($D872,Sheet1!$M$5:$O$192,2,TRUE)</f>
        <v>)/|.</v>
      </c>
      <c r="T872" s="117">
        <f>IF(ABS(D872-VLOOKUP($D872,Sheet1!$M$5:$T$192,8,TRUE))&lt;10^-10,"SoCA",D872-VLOOKUP($D872,Sheet1!$M$5:$T$192,8,TRUE))</f>
        <v>-0.28623275571652229</v>
      </c>
      <c r="U872" s="117">
        <f>IF(VLOOKUP($D872,Sheet1!$M$5:$U$192,9,TRUE)=0,"",IF(ABS(D872-VLOOKUP($D872,Sheet1!$M$5:$U$192,9,TRUE))&lt;10^-10,"Alt.",D872-VLOOKUP($D872,Sheet1!$M$5:$U$192,9,TRUE)))</f>
        <v>-0.31319305091895799</v>
      </c>
      <c r="V872" s="132">
        <f>$D872-Sheet1!$M$3*$R872</f>
        <v>-0.22056464321087077</v>
      </c>
      <c r="Z872" s="6"/>
      <c r="AA872" s="61"/>
    </row>
    <row r="873" spans="1:27" ht="13.5">
      <c r="A873" s="23" t="s">
        <v>710</v>
      </c>
      <c r="B873" s="23">
        <f>2^14*7*11</f>
        <v>1261568</v>
      </c>
      <c r="C873" s="23">
        <f>3^9*5*13</f>
        <v>1279395</v>
      </c>
      <c r="D873" s="13">
        <f t="shared" si="18"/>
        <v>24.292534588750542</v>
      </c>
      <c r="E873" s="61">
        <v>13</v>
      </c>
      <c r="F873" s="65">
        <v>42.968444847610179</v>
      </c>
      <c r="G873" s="6">
        <v>552</v>
      </c>
      <c r="H873" s="6">
        <v>555</v>
      </c>
      <c r="I873" s="65">
        <v>7.5042201428486575</v>
      </c>
      <c r="J873" s="6">
        <f>VLOOKUP($D873,Sheet1!$A$5:$C$192,3,TRUE)</f>
        <v>5</v>
      </c>
      <c r="K873" s="42" t="str">
        <f>VLOOKUP($D873,Sheet1!$A$5:$C$192,2,TRUE)</f>
        <v>|)</v>
      </c>
      <c r="L873" s="6">
        <f>FLOOR(VLOOKUP($D873,Sheet1!$D$5:$F$192,3,TRUE),1)</f>
        <v>10</v>
      </c>
      <c r="M873" s="42" t="str">
        <f>VLOOKUP($D873,Sheet1!$D$5:$F$192,2,TRUE)</f>
        <v>)/|</v>
      </c>
      <c r="N873" s="23">
        <f>FLOOR(VLOOKUP($D873,Sheet1!$G$5:$I$192,3,TRUE),1)</f>
        <v>13</v>
      </c>
      <c r="O873" s="42" t="str">
        <f>VLOOKUP($D873,Sheet1!$G$5:$I$192,2,TRUE)</f>
        <v>)/|</v>
      </c>
      <c r="P873" s="23">
        <v>1</v>
      </c>
      <c r="Q873" s="43" t="str">
        <f>VLOOKUP($D873,Sheet1!$J$5:$L$192,2,TRUE)</f>
        <v>)/|.</v>
      </c>
      <c r="R873" s="23">
        <f>FLOOR(VLOOKUP($D873,Sheet1!$M$5:$O$192,3,TRUE),1)</f>
        <v>50</v>
      </c>
      <c r="S873" s="43" t="str">
        <f>VLOOKUP($D873,Sheet1!$M$5:$O$192,2,TRUE)</f>
        <v>)/|.</v>
      </c>
      <c r="T873" s="117">
        <f>IF(ABS(D873-VLOOKUP($D873,Sheet1!$M$5:$T$192,8,TRUE))&lt;10^-10,"SoCA",D873-VLOOKUP($D873,Sheet1!$M$5:$T$192,8,TRUE))</f>
        <v>-0.16905757047440773</v>
      </c>
      <c r="U873" s="117">
        <f>IF(VLOOKUP($D873,Sheet1!$M$5:$U$192,9,TRUE)=0,"",IF(ABS(D873-VLOOKUP($D873,Sheet1!$M$5:$U$192,9,TRUE))&lt;10^-10,"Alt.",D873-VLOOKUP($D873,Sheet1!$M$5:$U$192,9,TRUE)))</f>
        <v>-0.19601786567684343</v>
      </c>
      <c r="V873" s="134">
        <f>$D873-Sheet1!$M$3*$R873</f>
        <v>-0.1033894579687562</v>
      </c>
      <c r="Z873" s="6"/>
      <c r="AA873" s="61"/>
    </row>
    <row r="874" spans="1:27" ht="13.5">
      <c r="A874" s="127" t="s">
        <v>1275</v>
      </c>
      <c r="B874" s="127">
        <v>5242880</v>
      </c>
      <c r="C874" s="127">
        <v>5316597</v>
      </c>
      <c r="D874" s="13">
        <f t="shared" si="18"/>
        <v>24.172305827351547</v>
      </c>
      <c r="E874" s="61">
        <v>17</v>
      </c>
      <c r="F874" s="65">
        <v>66.256490655034099</v>
      </c>
      <c r="G874" s="6">
        <v>1183</v>
      </c>
      <c r="H874" s="6">
        <v>1124</v>
      </c>
      <c r="I874" s="65">
        <v>5.5116230657052192</v>
      </c>
      <c r="J874" s="6">
        <f>VLOOKUP($D874,Sheet1!$A$5:$C$192,3,TRUE)</f>
        <v>5</v>
      </c>
      <c r="K874" s="42" t="str">
        <f>VLOOKUP($D874,Sheet1!$A$5:$C$192,2,TRUE)</f>
        <v>|)</v>
      </c>
      <c r="L874" s="6">
        <f>FLOOR(VLOOKUP($D874,Sheet1!$D$5:$F$192,3,TRUE),1)</f>
        <v>10</v>
      </c>
      <c r="M874" s="42" t="str">
        <f>VLOOKUP($D874,Sheet1!$D$5:$F$192,2,TRUE)</f>
        <v>)/|</v>
      </c>
      <c r="N874" s="23">
        <f>FLOOR(VLOOKUP($D874,Sheet1!$G$5:$I$192,3,TRUE),1)</f>
        <v>13</v>
      </c>
      <c r="O874" s="42" t="str">
        <f>VLOOKUP($D874,Sheet1!$G$5:$I$192,2,TRUE)</f>
        <v>)/|</v>
      </c>
      <c r="P874" s="23">
        <v>1</v>
      </c>
      <c r="Q874" s="43" t="str">
        <f>VLOOKUP($D874,Sheet1!$J$5:$L$192,2,TRUE)</f>
        <v>)/|.</v>
      </c>
      <c r="R874" s="23">
        <f>FLOOR(VLOOKUP($D874,Sheet1!$M$5:$O$192,3,TRUE),1)</f>
        <v>50</v>
      </c>
      <c r="S874" s="43" t="str">
        <f>VLOOKUP($D874,Sheet1!$M$5:$O$192,2,TRUE)</f>
        <v>)/|.</v>
      </c>
      <c r="T874" s="117">
        <f>IF(ABS(D874-VLOOKUP($D874,Sheet1!$M$5:$T$192,8,TRUE))&lt;10^-10,"SoCA",D874-VLOOKUP($D874,Sheet1!$M$5:$T$192,8,TRUE))</f>
        <v>-0.28928633187340225</v>
      </c>
      <c r="U874" s="117">
        <f>IF(VLOOKUP($D874,Sheet1!$M$5:$U$192,9,TRUE)=0,"",IF(ABS(D874-VLOOKUP($D874,Sheet1!$M$5:$U$192,9,TRUE))&lt;10^-10,"Alt.",D874-VLOOKUP($D874,Sheet1!$M$5:$U$192,9,TRUE)))</f>
        <v>-0.31624662707583795</v>
      </c>
      <c r="V874" s="132">
        <f>$D874-Sheet1!$M$3*$R874</f>
        <v>-0.22361821936775073</v>
      </c>
      <c r="Z874" s="6"/>
      <c r="AA874" s="61"/>
    </row>
    <row r="875" spans="1:27" ht="13.5">
      <c r="A875" s="23" t="s">
        <v>1564</v>
      </c>
      <c r="B875" s="17">
        <f>2^24*5^2</f>
        <v>419430400</v>
      </c>
      <c r="C875" s="17">
        <f>3^11*7^4</f>
        <v>425329947</v>
      </c>
      <c r="D875" s="13">
        <f t="shared" si="18"/>
        <v>24.181207666091566</v>
      </c>
      <c r="E875" s="61">
        <v>7</v>
      </c>
      <c r="F875" s="65">
        <v>81.502066136378957</v>
      </c>
      <c r="G875" s="6">
        <v>1330</v>
      </c>
      <c r="H875" s="6">
        <v>1413</v>
      </c>
      <c r="I875" s="65">
        <v>9.5110749470628324</v>
      </c>
      <c r="J875" s="6">
        <f>VLOOKUP($D875,Sheet1!$A$5:$C$192,3,TRUE)</f>
        <v>5</v>
      </c>
      <c r="K875" s="42" t="str">
        <f>VLOOKUP($D875,Sheet1!$A$5:$C$192,2,TRUE)</f>
        <v>|)</v>
      </c>
      <c r="L875" s="6">
        <f>FLOOR(VLOOKUP($D875,Sheet1!$D$5:$F$192,3,TRUE),1)</f>
        <v>10</v>
      </c>
      <c r="M875" s="42" t="str">
        <f>VLOOKUP($D875,Sheet1!$D$5:$F$192,2,TRUE)</f>
        <v>)/|</v>
      </c>
      <c r="N875" s="23">
        <f>FLOOR(VLOOKUP($D875,Sheet1!$G$5:$I$192,3,TRUE),1)</f>
        <v>13</v>
      </c>
      <c r="O875" s="42" t="str">
        <f>VLOOKUP($D875,Sheet1!$G$5:$I$192,2,TRUE)</f>
        <v>)/|</v>
      </c>
      <c r="P875" s="23">
        <v>1</v>
      </c>
      <c r="Q875" s="43" t="str">
        <f>VLOOKUP($D875,Sheet1!$J$5:$L$192,2,TRUE)</f>
        <v>)/|.</v>
      </c>
      <c r="R875" s="23">
        <f>FLOOR(VLOOKUP($D875,Sheet1!$M$5:$O$192,3,TRUE),1)</f>
        <v>50</v>
      </c>
      <c r="S875" s="43" t="str">
        <f>VLOOKUP($D875,Sheet1!$M$5:$O$192,2,TRUE)</f>
        <v>)/|.</v>
      </c>
      <c r="T875" s="117">
        <f>IF(ABS(D875-VLOOKUP($D875,Sheet1!$M$5:$T$192,8,TRUE))&lt;10^-10,"SoCA",D875-VLOOKUP($D875,Sheet1!$M$5:$T$192,8,TRUE))</f>
        <v>-0.28038449313338276</v>
      </c>
      <c r="U875" s="117">
        <f>IF(VLOOKUP($D875,Sheet1!$M$5:$U$192,9,TRUE)=0,"",IF(ABS(D875-VLOOKUP($D875,Sheet1!$M$5:$U$192,9,TRUE))&lt;10^-10,"Alt.",D875-VLOOKUP($D875,Sheet1!$M$5:$U$192,9,TRUE)))</f>
        <v>-0.30734478833581846</v>
      </c>
      <c r="V875" s="132">
        <f>$D875-Sheet1!$M$3*$R875</f>
        <v>-0.21471638062773124</v>
      </c>
      <c r="Z875" s="6"/>
      <c r="AA875" s="61"/>
    </row>
    <row r="876" spans="1:27" ht="13.5">
      <c r="A876" s="127" t="s">
        <v>1182</v>
      </c>
      <c r="B876" s="127">
        <v>9344</v>
      </c>
      <c r="C876" s="127">
        <v>9477</v>
      </c>
      <c r="D876" s="13">
        <f t="shared" si="18"/>
        <v>24.468196305614491</v>
      </c>
      <c r="E876" s="61" t="s">
        <v>1931</v>
      </c>
      <c r="F876" s="65">
        <v>87.070045880409239</v>
      </c>
      <c r="G876" s="6">
        <v>1085</v>
      </c>
      <c r="H876" s="6">
        <v>1031</v>
      </c>
      <c r="I876" s="65">
        <v>4.4934040109708677</v>
      </c>
      <c r="J876" s="6">
        <f>VLOOKUP($D876,Sheet1!$A$5:$C$192,3,TRUE)</f>
        <v>5</v>
      </c>
      <c r="K876" s="42" t="str">
        <f>VLOOKUP($D876,Sheet1!$A$5:$C$192,2,TRUE)</f>
        <v>|)</v>
      </c>
      <c r="L876" s="6">
        <f>FLOOR(VLOOKUP($D876,Sheet1!$D$5:$F$192,3,TRUE),1)</f>
        <v>10</v>
      </c>
      <c r="M876" s="42" t="str">
        <f>VLOOKUP($D876,Sheet1!$D$5:$F$192,2,TRUE)</f>
        <v>)/|</v>
      </c>
      <c r="N876" s="23">
        <f>FLOOR(VLOOKUP($D876,Sheet1!$G$5:$I$192,3,TRUE),1)</f>
        <v>13</v>
      </c>
      <c r="O876" s="42" t="str">
        <f>VLOOKUP($D876,Sheet1!$G$5:$I$192,2,TRUE)</f>
        <v>)/|</v>
      </c>
      <c r="P876" s="23">
        <v>1</v>
      </c>
      <c r="Q876" s="43" t="str">
        <f>VLOOKUP($D876,Sheet1!$J$5:$L$192,2,TRUE)</f>
        <v>)/|.</v>
      </c>
      <c r="R876" s="23">
        <f>FLOOR(VLOOKUP($D876,Sheet1!$M$5:$O$192,3,TRUE),1)</f>
        <v>50</v>
      </c>
      <c r="S876" s="43" t="str">
        <f>VLOOKUP($D876,Sheet1!$M$5:$O$192,2,TRUE)</f>
        <v>)/|.</v>
      </c>
      <c r="T876" s="117">
        <f>IF(ABS(D876-VLOOKUP($D876,Sheet1!$M$5:$T$192,8,TRUE))&lt;10^-10,"SoCA",D876-VLOOKUP($D876,Sheet1!$M$5:$T$192,8,TRUE))</f>
        <v>6.6041463895416541E-3</v>
      </c>
      <c r="U876" s="117">
        <f>IF(VLOOKUP($D876,Sheet1!$M$5:$U$192,9,TRUE)=0,"",IF(ABS(D876-VLOOKUP($D876,Sheet1!$M$5:$U$192,9,TRUE))&lt;10^-10,"Alt.",D876-VLOOKUP($D876,Sheet1!$M$5:$U$192,9,TRUE)))</f>
        <v>-2.0356148812894048E-2</v>
      </c>
      <c r="V876" s="132">
        <f>$D876-Sheet1!$M$3*$R876</f>
        <v>7.2272258895193175E-2</v>
      </c>
      <c r="Z876" s="6"/>
      <c r="AA876" s="61"/>
    </row>
    <row r="877" spans="1:27" ht="13.5">
      <c r="A877" s="23" t="s">
        <v>643</v>
      </c>
      <c r="B877" s="17">
        <f>2^25</f>
        <v>33554432</v>
      </c>
      <c r="C877" s="17">
        <f>3^4*5^2*7^5</f>
        <v>34034175</v>
      </c>
      <c r="D877" s="13">
        <f t="shared" si="18"/>
        <v>24.576963536843955</v>
      </c>
      <c r="E877" s="61">
        <v>7</v>
      </c>
      <c r="F877" s="65">
        <v>108.22976088562052</v>
      </c>
      <c r="G877" s="6">
        <v>537</v>
      </c>
      <c r="H877" s="6">
        <v>488</v>
      </c>
      <c r="I877" s="65">
        <v>2.4867068162834718</v>
      </c>
      <c r="J877" s="6">
        <f>VLOOKUP($D877,Sheet1!$A$5:$C$192,3,TRUE)</f>
        <v>5</v>
      </c>
      <c r="K877" s="42" t="str">
        <f>VLOOKUP($D877,Sheet1!$A$5:$C$192,2,TRUE)</f>
        <v>|)</v>
      </c>
      <c r="L877" s="6">
        <f>FLOOR(VLOOKUP($D877,Sheet1!$D$5:$F$192,3,TRUE),1)</f>
        <v>10</v>
      </c>
      <c r="M877" s="42" t="str">
        <f>VLOOKUP($D877,Sheet1!$D$5:$F$192,2,TRUE)</f>
        <v>)/|</v>
      </c>
      <c r="N877" s="23">
        <f>FLOOR(VLOOKUP($D877,Sheet1!$G$5:$I$192,3,TRUE),1)</f>
        <v>13</v>
      </c>
      <c r="O877" s="42" t="str">
        <f>VLOOKUP($D877,Sheet1!$G$5:$I$192,2,TRUE)</f>
        <v>)/|</v>
      </c>
      <c r="P877" s="23">
        <v>1</v>
      </c>
      <c r="Q877" s="43" t="str">
        <f>VLOOKUP($D877,Sheet1!$J$5:$L$192,2,TRUE)</f>
        <v>)/|.</v>
      </c>
      <c r="R877" s="23">
        <f>FLOOR(VLOOKUP($D877,Sheet1!$M$5:$O$192,3,TRUE),1)</f>
        <v>50</v>
      </c>
      <c r="S877" s="43" t="str">
        <f>VLOOKUP($D877,Sheet1!$M$5:$O$192,2,TRUE)</f>
        <v>)/|.</v>
      </c>
      <c r="T877" s="117">
        <f>IF(ABS(D877-VLOOKUP($D877,Sheet1!$M$5:$T$192,8,TRUE))&lt;10^-10,"SoCA",D877-VLOOKUP($D877,Sheet1!$M$5:$T$192,8,TRUE))</f>
        <v>0.11537137761900595</v>
      </c>
      <c r="U877" s="117">
        <f>IF(VLOOKUP($D877,Sheet1!$M$5:$U$192,9,TRUE)=0,"",IF(ABS(D877-VLOOKUP($D877,Sheet1!$M$5:$U$192,9,TRUE))&lt;10^-10,"Alt.",D877-VLOOKUP($D877,Sheet1!$M$5:$U$192,9,TRUE)))</f>
        <v>8.8411082416570252E-2</v>
      </c>
      <c r="V877" s="132">
        <f>$D877-Sheet1!$M$3*$R877</f>
        <v>0.18103949012465748</v>
      </c>
      <c r="Z877" s="6"/>
      <c r="AA877" s="61"/>
    </row>
    <row r="878" spans="1:27" ht="13.5">
      <c r="A878" t="s">
        <v>869</v>
      </c>
      <c r="B878">
        <v>3008</v>
      </c>
      <c r="C878">
        <v>3051</v>
      </c>
      <c r="D878" s="13">
        <f t="shared" si="18"/>
        <v>24.573135481222689</v>
      </c>
      <c r="E878" s="61" t="s">
        <v>1931</v>
      </c>
      <c r="F878" s="65">
        <v>160.15180978892909</v>
      </c>
      <c r="G878" s="6">
        <v>780</v>
      </c>
      <c r="H878" s="6">
        <v>716</v>
      </c>
      <c r="I878" s="65">
        <v>1.4869425236144391</v>
      </c>
      <c r="J878" s="6">
        <f>VLOOKUP($D878,Sheet1!$A$5:$C$192,3,TRUE)</f>
        <v>5</v>
      </c>
      <c r="K878" s="42" t="str">
        <f>VLOOKUP($D878,Sheet1!$A$5:$C$192,2,TRUE)</f>
        <v>|)</v>
      </c>
      <c r="L878" s="6">
        <f>FLOOR(VLOOKUP($D878,Sheet1!$D$5:$F$192,3,TRUE),1)</f>
        <v>10</v>
      </c>
      <c r="M878" s="42" t="str">
        <f>VLOOKUP($D878,Sheet1!$D$5:$F$192,2,TRUE)</f>
        <v>)/|</v>
      </c>
      <c r="N878" s="23">
        <f>FLOOR(VLOOKUP($D878,Sheet1!$G$5:$I$192,3,TRUE),1)</f>
        <v>13</v>
      </c>
      <c r="O878" s="42" t="str">
        <f>VLOOKUP($D878,Sheet1!$G$5:$I$192,2,TRUE)</f>
        <v>)/|</v>
      </c>
      <c r="P878" s="23">
        <v>1</v>
      </c>
      <c r="Q878" s="43" t="str">
        <f>VLOOKUP($D878,Sheet1!$J$5:$L$192,2,TRUE)</f>
        <v>)/|.</v>
      </c>
      <c r="R878" s="23">
        <f>FLOOR(VLOOKUP($D878,Sheet1!$M$5:$O$192,3,TRUE),1)</f>
        <v>50</v>
      </c>
      <c r="S878" s="42" t="str">
        <f>VLOOKUP($D878,Sheet1!$M$5:$O$192,2,TRUE)</f>
        <v>)/|.</v>
      </c>
      <c r="T878" s="117">
        <f>IF(ABS(D878-VLOOKUP($D878,Sheet1!$M$5:$T$192,8,TRUE))&lt;10^-10,"SoCA",D878-VLOOKUP($D878,Sheet1!$M$5:$T$192,8,TRUE))</f>
        <v>0.11154332199773975</v>
      </c>
      <c r="U878" s="109">
        <f>IF(VLOOKUP($D878,Sheet1!$M$5:$U$192,9,TRUE)=0,"",IF(ABS(D878-VLOOKUP($D878,Sheet1!$M$5:$U$192,9,TRUE))&lt;10^-10,"Alt.",D878-VLOOKUP($D878,Sheet1!$M$5:$U$192,9,TRUE)))</f>
        <v>8.458302679530405E-2</v>
      </c>
      <c r="V878" s="132">
        <f>$D878-Sheet1!$M$3*$R878</f>
        <v>0.17721143450339127</v>
      </c>
      <c r="Z878" s="6"/>
      <c r="AA878" s="61"/>
    </row>
    <row r="879" spans="1:27" ht="13.5">
      <c r="A879" t="s">
        <v>1183</v>
      </c>
      <c r="B879">
        <v>2619</v>
      </c>
      <c r="C879">
        <v>2656</v>
      </c>
      <c r="D879" s="13">
        <f t="shared" si="18"/>
        <v>24.286904395594281</v>
      </c>
      <c r="E879" s="61" t="s">
        <v>1931</v>
      </c>
      <c r="F879" s="65">
        <v>180.43921586191956</v>
      </c>
      <c r="G879" s="6">
        <v>1086</v>
      </c>
      <c r="H879" s="6">
        <v>1032</v>
      </c>
      <c r="I879" s="65">
        <v>-4.4954331856468004</v>
      </c>
      <c r="J879" s="6">
        <f>VLOOKUP($D879,Sheet1!$A$5:$C$192,3,TRUE)</f>
        <v>5</v>
      </c>
      <c r="K879" s="42" t="str">
        <f>VLOOKUP($D879,Sheet1!$A$5:$C$192,2,TRUE)</f>
        <v>|)</v>
      </c>
      <c r="L879" s="6">
        <f>FLOOR(VLOOKUP($D879,Sheet1!$D$5:$F$192,3,TRUE),1)</f>
        <v>10</v>
      </c>
      <c r="M879" s="42" t="str">
        <f>VLOOKUP($D879,Sheet1!$D$5:$F$192,2,TRUE)</f>
        <v>)/|</v>
      </c>
      <c r="N879" s="23">
        <f>FLOOR(VLOOKUP($D879,Sheet1!$G$5:$I$192,3,TRUE),1)</f>
        <v>13</v>
      </c>
      <c r="O879" s="42" t="str">
        <f>VLOOKUP($D879,Sheet1!$G$5:$I$192,2,TRUE)</f>
        <v>)/|</v>
      </c>
      <c r="P879" s="23">
        <v>1</v>
      </c>
      <c r="Q879" s="43" t="str">
        <f>VLOOKUP($D879,Sheet1!$J$5:$L$192,2,TRUE)</f>
        <v>)/|.</v>
      </c>
      <c r="R879" s="23">
        <f>FLOOR(VLOOKUP($D879,Sheet1!$M$5:$O$192,3,TRUE),1)</f>
        <v>50</v>
      </c>
      <c r="S879" s="42" t="str">
        <f>VLOOKUP($D879,Sheet1!$M$5:$O$192,2,TRUE)</f>
        <v>)/|.</v>
      </c>
      <c r="T879" s="117">
        <f>IF(ABS(D879-VLOOKUP($D879,Sheet1!$M$5:$T$192,8,TRUE))&lt;10^-10,"SoCA",D879-VLOOKUP($D879,Sheet1!$M$5:$T$192,8,TRUE))</f>
        <v>-0.17468776363066851</v>
      </c>
      <c r="U879" s="109">
        <f>IF(VLOOKUP($D879,Sheet1!$M$5:$U$192,9,TRUE)=0,"",IF(ABS(D879-VLOOKUP($D879,Sheet1!$M$5:$U$192,9,TRUE))&lt;10^-10,"Alt.",D879-VLOOKUP($D879,Sheet1!$M$5:$U$192,9,TRUE)))</f>
        <v>-0.20164805883310422</v>
      </c>
      <c r="V879" s="132">
        <f>$D879-Sheet1!$M$3*$R879</f>
        <v>-0.10901965112501699</v>
      </c>
      <c r="Z879" s="6"/>
      <c r="AA879" s="61"/>
    </row>
    <row r="880" spans="1:27" ht="13.5">
      <c r="A880" t="s">
        <v>870</v>
      </c>
      <c r="B880">
        <v>772</v>
      </c>
      <c r="C880">
        <v>783</v>
      </c>
      <c r="D880" s="13">
        <f t="shared" si="18"/>
        <v>24.493752027552382</v>
      </c>
      <c r="E880" s="61" t="s">
        <v>1931</v>
      </c>
      <c r="F880" s="65">
        <v>222.16162136416361</v>
      </c>
      <c r="G880" s="6">
        <v>781</v>
      </c>
      <c r="H880" s="6">
        <v>717</v>
      </c>
      <c r="I880" s="65">
        <v>1.4918304520665873</v>
      </c>
      <c r="J880" s="6">
        <f>VLOOKUP($D880,Sheet1!$A$5:$C$192,3,TRUE)</f>
        <v>5</v>
      </c>
      <c r="K880" s="42" t="str">
        <f>VLOOKUP($D880,Sheet1!$A$5:$C$192,2,TRUE)</f>
        <v>|)</v>
      </c>
      <c r="L880" s="6">
        <f>FLOOR(VLOOKUP($D880,Sheet1!$D$5:$F$192,3,TRUE),1)</f>
        <v>10</v>
      </c>
      <c r="M880" s="42" t="str">
        <f>VLOOKUP($D880,Sheet1!$D$5:$F$192,2,TRUE)</f>
        <v>)/|</v>
      </c>
      <c r="N880" s="23">
        <f>FLOOR(VLOOKUP($D880,Sheet1!$G$5:$I$192,3,TRUE),1)</f>
        <v>13</v>
      </c>
      <c r="O880" s="42" t="str">
        <f>VLOOKUP($D880,Sheet1!$G$5:$I$192,2,TRUE)</f>
        <v>)/|</v>
      </c>
      <c r="P880" s="23">
        <v>1</v>
      </c>
      <c r="Q880" s="43" t="str">
        <f>VLOOKUP($D880,Sheet1!$J$5:$L$192,2,TRUE)</f>
        <v>)/|.</v>
      </c>
      <c r="R880" s="23">
        <f>FLOOR(VLOOKUP($D880,Sheet1!$M$5:$O$192,3,TRUE),1)</f>
        <v>50</v>
      </c>
      <c r="S880" s="42" t="str">
        <f>VLOOKUP($D880,Sheet1!$M$5:$O$192,2,TRUE)</f>
        <v>)/|.</v>
      </c>
      <c r="T880" s="117">
        <f>IF(ABS(D880-VLOOKUP($D880,Sheet1!$M$5:$T$192,8,TRUE))&lt;10^-10,"SoCA",D880-VLOOKUP($D880,Sheet1!$M$5:$T$192,8,TRUE))</f>
        <v>3.2159868327433117E-2</v>
      </c>
      <c r="U880" s="109">
        <f>IF(VLOOKUP($D880,Sheet1!$M$5:$U$192,9,TRUE)=0,"",IF(ABS(D880-VLOOKUP($D880,Sheet1!$M$5:$U$192,9,TRUE))&lt;10^-10,"Alt.",D880-VLOOKUP($D880,Sheet1!$M$5:$U$192,9,TRUE)))</f>
        <v>5.1995731249974142E-3</v>
      </c>
      <c r="V880" s="132">
        <f>$D880-Sheet1!$M$3*$R880</f>
        <v>9.7827980833084638E-2</v>
      </c>
      <c r="Z880" s="6"/>
      <c r="AA880" s="61"/>
    </row>
    <row r="881" spans="1:27" ht="13.5">
      <c r="A881" s="36" t="s">
        <v>106</v>
      </c>
      <c r="B881" s="36">
        <f>3^8</f>
        <v>6561</v>
      </c>
      <c r="C881" s="36">
        <f>2^9*13</f>
        <v>6656</v>
      </c>
      <c r="D881" s="13">
        <f t="shared" si="18"/>
        <v>24.887654846211269</v>
      </c>
      <c r="E881" s="61">
        <v>13</v>
      </c>
      <c r="F881" s="65">
        <v>23.054082324173503</v>
      </c>
      <c r="G881" s="59">
        <v>36</v>
      </c>
      <c r="H881" s="59">
        <v>56</v>
      </c>
      <c r="I881" s="65">
        <v>-9.5324235795443393</v>
      </c>
      <c r="J881" s="6">
        <f>VLOOKUP($D881,Sheet1!$A$5:$C$192,3,TRUE)</f>
        <v>5</v>
      </c>
      <c r="K881" s="42" t="str">
        <f>VLOOKUP($D881,Sheet1!$A$5:$C$192,2,TRUE)</f>
        <v>|)</v>
      </c>
      <c r="L881" s="6">
        <f>FLOOR(VLOOKUP($D881,Sheet1!$D$5:$F$192,3,TRUE),1)</f>
        <v>10</v>
      </c>
      <c r="M881" s="42" t="str">
        <f>VLOOKUP($D881,Sheet1!$D$5:$F$192,2,TRUE)</f>
        <v>)/|</v>
      </c>
      <c r="N881" s="23">
        <f>FLOOR(VLOOKUP($D881,Sheet1!$G$5:$I$192,3,TRUE),1)</f>
        <v>13</v>
      </c>
      <c r="O881" s="43" t="str">
        <f>VLOOKUP($D881,Sheet1!$G$5:$I$192,2,TRUE)</f>
        <v>.|)</v>
      </c>
      <c r="P881" s="23">
        <v>1</v>
      </c>
      <c r="Q881" s="45" t="str">
        <f>VLOOKUP($D881,Sheet1!$J$5:$L$192,2,TRUE)</f>
        <v>.|).</v>
      </c>
      <c r="R881" s="38">
        <f>FLOOR(VLOOKUP($D881,Sheet1!$M$5:$O$192,3,TRUE),1)</f>
        <v>51</v>
      </c>
      <c r="S881" s="45" t="str">
        <f>VLOOKUP($D881,Sheet1!$M$5:$O$192,2,TRUE)</f>
        <v>.|).</v>
      </c>
      <c r="T881" s="112" t="str">
        <f>IF(ABS(D881-VLOOKUP($D881,Sheet1!$M$5:$T$192,8,TRUE))&lt;10^-10,"SoCA",D881-VLOOKUP($D881,Sheet1!$M$5:$T$192,8,TRUE))</f>
        <v>SoCA</v>
      </c>
      <c r="U881" s="108">
        <f>IF(VLOOKUP($D881,Sheet1!$M$5:$U$192,9,TRUE)=0,"",IF(ABS(D881-VLOOKUP($D881,Sheet1!$M$5:$U$192,9,TRUE))&lt;10^-10,"Alt.",D881-VLOOKUP($D881,Sheet1!$M$5:$U$192,9,TRUE)))</f>
        <v>-2.6960295202318463E-2</v>
      </c>
      <c r="V881" s="132">
        <f>$D881-Sheet1!$M$3*$R881</f>
        <v>3.81231855758557E-3</v>
      </c>
      <c r="Z881" s="6"/>
      <c r="AA881" s="61"/>
    </row>
    <row r="882" spans="1:27" ht="13.5">
      <c r="A882" s="33" t="s">
        <v>104</v>
      </c>
      <c r="B882" s="33">
        <f>2^13*5</f>
        <v>40960</v>
      </c>
      <c r="C882" s="35">
        <f>3^7*19</f>
        <v>41553</v>
      </c>
      <c r="D882" s="13">
        <f t="shared" si="18"/>
        <v>24.884308325179774</v>
      </c>
      <c r="E882" s="61">
        <v>19</v>
      </c>
      <c r="F882" s="65">
        <v>25.550179176679183</v>
      </c>
      <c r="G882" s="6">
        <v>53</v>
      </c>
      <c r="H882" s="6">
        <v>51</v>
      </c>
      <c r="I882" s="65">
        <v>5.4677824779476092</v>
      </c>
      <c r="J882" s="6">
        <f>VLOOKUP($D882,Sheet1!$A$5:$C$192,3,TRUE)</f>
        <v>5</v>
      </c>
      <c r="K882" s="42" t="str">
        <f>VLOOKUP($D882,Sheet1!$A$5:$C$192,2,TRUE)</f>
        <v>|)</v>
      </c>
      <c r="L882" s="34">
        <f>FLOOR(VLOOKUP($D882,Sheet1!$D$5:$F$192,3,TRUE),1)</f>
        <v>10</v>
      </c>
      <c r="M882" s="41" t="str">
        <f>VLOOKUP($D882,Sheet1!$D$5:$F$192,2,TRUE)</f>
        <v>)/|</v>
      </c>
      <c r="N882" s="34">
        <f>FLOOR(VLOOKUP($D882,Sheet1!$G$5:$I$192,3,TRUE),1)</f>
        <v>13</v>
      </c>
      <c r="O882" s="41" t="str">
        <f>VLOOKUP($D882,Sheet1!$G$5:$I$192,2,TRUE)</f>
        <v>)/|</v>
      </c>
      <c r="P882" s="34">
        <v>1</v>
      </c>
      <c r="Q882" s="41" t="str">
        <f>VLOOKUP($D882,Sheet1!$J$5:$L$192,2,TRUE)</f>
        <v>)/|</v>
      </c>
      <c r="R882" s="34">
        <f>FLOOR(VLOOKUP($D882,Sheet1!$M$5:$O$192,3,TRUE),1)</f>
        <v>51</v>
      </c>
      <c r="S882" s="41" t="str">
        <f>VLOOKUP($D882,Sheet1!$M$5:$O$192,2,TRUE)</f>
        <v>)/|</v>
      </c>
      <c r="T882" s="114" t="str">
        <f>IF(ABS(D882-VLOOKUP($D882,Sheet1!$M$5:$T$192,8,TRUE))&lt;10^-10,"SoCA",D882-VLOOKUP($D882,Sheet1!$M$5:$T$192,8,TRUE))</f>
        <v>SoCA</v>
      </c>
      <c r="U882" s="126" t="str">
        <f>IF(VLOOKUP($D882,Sheet1!$M$5:$U$192,9,TRUE)=0,"",IF(ABS(D882-VLOOKUP($D882,Sheet1!$M$5:$U$192,9,TRUE))&lt;10^-10,"Alt.",D882-VLOOKUP($D882,Sheet1!$M$5:$U$192,9,TRUE)))</f>
        <v/>
      </c>
      <c r="V882" s="137">
        <f>$D882-Sheet1!$M$3*$R882</f>
        <v>4.6579752608977287E-4</v>
      </c>
      <c r="Z882" s="6"/>
      <c r="AA882" s="61"/>
    </row>
    <row r="883" spans="1:27" ht="13.5">
      <c r="A883" t="s">
        <v>508</v>
      </c>
      <c r="B883">
        <v>2156</v>
      </c>
      <c r="C883">
        <v>2187</v>
      </c>
      <c r="D883" s="13">
        <f t="shared" si="18"/>
        <v>24.715250754705362</v>
      </c>
      <c r="E883" s="61">
        <v>11</v>
      </c>
      <c r="F883" s="65">
        <v>41.57105318312459</v>
      </c>
      <c r="G883" s="6">
        <v>362</v>
      </c>
      <c r="H883" s="6">
        <v>349</v>
      </c>
      <c r="I883" s="65">
        <v>5.4781919684719806</v>
      </c>
      <c r="J883" s="6">
        <f>VLOOKUP($D883,Sheet1!$A$5:$C$192,3,TRUE)</f>
        <v>5</v>
      </c>
      <c r="K883" s="42" t="str">
        <f>VLOOKUP($D883,Sheet1!$A$5:$C$192,2,TRUE)</f>
        <v>|)</v>
      </c>
      <c r="L883" s="6">
        <f>FLOOR(VLOOKUP($D883,Sheet1!$D$5:$F$192,3,TRUE),1)</f>
        <v>10</v>
      </c>
      <c r="M883" s="42" t="str">
        <f>VLOOKUP($D883,Sheet1!$D$5:$F$192,2,TRUE)</f>
        <v>)/|</v>
      </c>
      <c r="N883" s="23">
        <f>FLOOR(VLOOKUP($D883,Sheet1!$G$5:$I$192,3,TRUE),1)</f>
        <v>13</v>
      </c>
      <c r="O883" s="42" t="str">
        <f>VLOOKUP($D883,Sheet1!$G$5:$I$192,2,TRUE)</f>
        <v>)/|</v>
      </c>
      <c r="P883" s="23">
        <v>1</v>
      </c>
      <c r="Q883" s="43" t="str">
        <f>VLOOKUP($D883,Sheet1!$J$5:$L$192,2,TRUE)</f>
        <v>)/|</v>
      </c>
      <c r="R883" s="23">
        <f>FLOOR(VLOOKUP($D883,Sheet1!$M$5:$O$192,3,TRUE),1)</f>
        <v>51</v>
      </c>
      <c r="S883" s="42" t="str">
        <f>VLOOKUP($D883,Sheet1!$M$5:$O$192,2,TRUE)</f>
        <v>)/|</v>
      </c>
      <c r="T883" s="117">
        <f>IF(ABS(D883-VLOOKUP($D883,Sheet1!$M$5:$T$192,8,TRUE))&lt;10^-10,"SoCA",D883-VLOOKUP($D883,Sheet1!$M$5:$T$192,8,TRUE))</f>
        <v>-0.16905757047441128</v>
      </c>
      <c r="U883" s="109" t="str">
        <f>IF(VLOOKUP($D883,Sheet1!$M$5:$U$192,9,TRUE)=0,"",IF(ABS(D883-VLOOKUP($D883,Sheet1!$M$5:$U$192,9,TRUE))&lt;10^-10,"Alt.",D883-VLOOKUP($D883,Sheet1!$M$5:$U$192,9,TRUE)))</f>
        <v/>
      </c>
      <c r="V883" s="132">
        <f>$D883-Sheet1!$M$3*$R883</f>
        <v>-0.16859177294832151</v>
      </c>
      <c r="Z883" s="6"/>
      <c r="AA883" s="61"/>
    </row>
    <row r="884" spans="1:27" ht="13.5">
      <c r="A884" s="6" t="s">
        <v>398</v>
      </c>
      <c r="B884" s="6">
        <f>3*23</f>
        <v>69</v>
      </c>
      <c r="C884" s="6">
        <f>2*5*7</f>
        <v>70</v>
      </c>
      <c r="D884" s="13">
        <f t="shared" si="18"/>
        <v>24.910272200156992</v>
      </c>
      <c r="E884" s="61">
        <v>23</v>
      </c>
      <c r="F884" s="65">
        <v>42.077706381916386</v>
      </c>
      <c r="G884" s="6">
        <v>257</v>
      </c>
      <c r="H884" s="6">
        <v>235</v>
      </c>
      <c r="I884" s="65">
        <v>-2.5338162124262849</v>
      </c>
      <c r="J884" s="6">
        <f>VLOOKUP($D884,Sheet1!$A$5:$C$192,3,TRUE)</f>
        <v>5</v>
      </c>
      <c r="K884" s="42" t="str">
        <f>VLOOKUP($D884,Sheet1!$A$5:$C$192,2,TRUE)</f>
        <v>|)</v>
      </c>
      <c r="L884" s="6">
        <f>FLOOR(VLOOKUP($D884,Sheet1!$D$5:$F$192,3,TRUE),1)</f>
        <v>10</v>
      </c>
      <c r="M884" s="42" t="str">
        <f>VLOOKUP($D884,Sheet1!$D$5:$F$192,2,TRUE)</f>
        <v>)/|</v>
      </c>
      <c r="N884" s="23">
        <f>FLOOR(VLOOKUP($D884,Sheet1!$G$5:$I$192,3,TRUE),1)</f>
        <v>13</v>
      </c>
      <c r="O884" s="42" t="str">
        <f>VLOOKUP($D884,Sheet1!$G$5:$I$192,2,TRUE)</f>
        <v>.|)</v>
      </c>
      <c r="P884" s="23">
        <v>1</v>
      </c>
      <c r="Q884" s="43" t="str">
        <f>VLOOKUP($D884,Sheet1!$J$5:$L$192,2,TRUE)</f>
        <v>.|).</v>
      </c>
      <c r="R884" s="23">
        <f>FLOOR(VLOOKUP($D884,Sheet1!$M$5:$O$192,3,TRUE),1)</f>
        <v>51</v>
      </c>
      <c r="S884" s="42" t="str">
        <f>VLOOKUP($D884,Sheet1!$M$5:$O$192,2,TRUE)</f>
        <v>.|).</v>
      </c>
      <c r="T884" s="117">
        <f>IF(ABS(D884-VLOOKUP($D884,Sheet1!$M$5:$T$192,8,TRUE))&lt;10^-10,"SoCA",D884-VLOOKUP($D884,Sheet1!$M$5:$T$192,8,TRUE))</f>
        <v>2.261735394584008E-2</v>
      </c>
      <c r="U884" s="109">
        <f>IF(VLOOKUP($D884,Sheet1!$M$5:$U$192,9,TRUE)=0,"",IF(ABS(D884-VLOOKUP($D884,Sheet1!$M$5:$U$192,9,TRUE))&lt;10^-10,"Alt.",D884-VLOOKUP($D884,Sheet1!$M$5:$U$192,9,TRUE)))</f>
        <v>-4.3429412565956227E-3</v>
      </c>
      <c r="V884" s="132">
        <f>$D884-Sheet1!$M$3*$R884</f>
        <v>2.642967250330841E-2</v>
      </c>
      <c r="Z884" s="6"/>
      <c r="AA884" s="61"/>
    </row>
    <row r="885" spans="1:27" ht="13.5">
      <c r="A885" t="s">
        <v>1087</v>
      </c>
      <c r="B885">
        <v>4608</v>
      </c>
      <c r="C885">
        <v>4675</v>
      </c>
      <c r="D885" s="13">
        <f t="shared" si="18"/>
        <v>24.990777864058838</v>
      </c>
      <c r="E885" s="61">
        <v>17</v>
      </c>
      <c r="F885" s="65">
        <v>68.55917438269266</v>
      </c>
      <c r="G885" s="6">
        <v>1001</v>
      </c>
      <c r="H885" s="6">
        <v>936</v>
      </c>
      <c r="I885" s="65">
        <v>-3.5387732394508236</v>
      </c>
      <c r="J885" s="6">
        <f>VLOOKUP($D885,Sheet1!$A$5:$C$192,3,TRUE)</f>
        <v>5</v>
      </c>
      <c r="K885" s="42" t="str">
        <f>VLOOKUP($D885,Sheet1!$A$5:$C$192,2,TRUE)</f>
        <v>|)</v>
      </c>
      <c r="L885" s="6">
        <f>FLOOR(VLOOKUP($D885,Sheet1!$D$5:$F$192,3,TRUE),1)</f>
        <v>10</v>
      </c>
      <c r="M885" s="42" t="str">
        <f>VLOOKUP($D885,Sheet1!$D$5:$F$192,2,TRUE)</f>
        <v>)/|</v>
      </c>
      <c r="N885" s="23">
        <f>FLOOR(VLOOKUP($D885,Sheet1!$G$5:$I$192,3,TRUE),1)</f>
        <v>13</v>
      </c>
      <c r="O885" s="42" t="str">
        <f>VLOOKUP($D885,Sheet1!$G$5:$I$192,2,TRUE)</f>
        <v>.|)</v>
      </c>
      <c r="P885" s="23">
        <v>1</v>
      </c>
      <c r="Q885" s="43" t="str">
        <f>VLOOKUP($D885,Sheet1!$J$5:$L$192,2,TRUE)</f>
        <v>.|).</v>
      </c>
      <c r="R885" s="23">
        <f>FLOOR(VLOOKUP($D885,Sheet1!$M$5:$O$192,3,TRUE),1)</f>
        <v>51</v>
      </c>
      <c r="S885" s="42" t="str">
        <f>VLOOKUP($D885,Sheet1!$M$5:$O$192,2,TRUE)</f>
        <v>.|).</v>
      </c>
      <c r="T885" s="117">
        <f>IF(ABS(D885-VLOOKUP($D885,Sheet1!$M$5:$T$192,8,TRUE))&lt;10^-10,"SoCA",D885-VLOOKUP($D885,Sheet1!$M$5:$T$192,8,TRUE))</f>
        <v>0.10312301784768607</v>
      </c>
      <c r="U885" s="109">
        <f>IF(VLOOKUP($D885,Sheet1!$M$5:$U$192,9,TRUE)=0,"",IF(ABS(D885-VLOOKUP($D885,Sheet1!$M$5:$U$192,9,TRUE))&lt;10^-10,"Alt.",D885-VLOOKUP($D885,Sheet1!$M$5:$U$192,9,TRUE)))</f>
        <v>7.6162722645250369E-2</v>
      </c>
      <c r="V885" s="132">
        <f>$D885-Sheet1!$M$3*$R885</f>
        <v>0.1069353364051544</v>
      </c>
      <c r="Z885" s="6"/>
      <c r="AA885" s="61"/>
    </row>
    <row r="886" spans="1:27" ht="13.5">
      <c r="A886" s="6" t="s">
        <v>1185</v>
      </c>
      <c r="B886" s="6">
        <f>3^3*5^5*7^2</f>
        <v>4134375</v>
      </c>
      <c r="C886" s="6">
        <f>2^22</f>
        <v>4194304</v>
      </c>
      <c r="D886" s="13">
        <f t="shared" si="18"/>
        <v>24.914615141413808</v>
      </c>
      <c r="E886" s="61">
        <v>7</v>
      </c>
      <c r="F886" s="65">
        <v>93.919705977197765</v>
      </c>
      <c r="G886" s="6">
        <v>1090</v>
      </c>
      <c r="H886" s="6">
        <v>1034</v>
      </c>
      <c r="I886" s="65">
        <v>-4.5340836231416635</v>
      </c>
      <c r="J886" s="6">
        <f>VLOOKUP($D886,Sheet1!$A$5:$C$192,3,TRUE)</f>
        <v>5</v>
      </c>
      <c r="K886" s="42" t="str">
        <f>VLOOKUP($D886,Sheet1!$A$5:$C$192,2,TRUE)</f>
        <v>|)</v>
      </c>
      <c r="L886" s="6">
        <f>FLOOR(VLOOKUP($D886,Sheet1!$D$5:$F$192,3,TRUE),1)</f>
        <v>10</v>
      </c>
      <c r="M886" s="42" t="str">
        <f>VLOOKUP($D886,Sheet1!$D$5:$F$192,2,TRUE)</f>
        <v>)/|</v>
      </c>
      <c r="N886" s="23">
        <f>FLOOR(VLOOKUP($D886,Sheet1!$G$5:$I$192,3,TRUE),1)</f>
        <v>13</v>
      </c>
      <c r="O886" s="42" t="str">
        <f>VLOOKUP($D886,Sheet1!$G$5:$I$192,2,TRUE)</f>
        <v>.|)</v>
      </c>
      <c r="P886" s="23">
        <v>1</v>
      </c>
      <c r="Q886" s="43" t="str">
        <f>VLOOKUP($D886,Sheet1!$J$5:$L$192,2,TRUE)</f>
        <v>.|).</v>
      </c>
      <c r="R886" s="23">
        <f>FLOOR(VLOOKUP($D886,Sheet1!$M$5:$O$192,3,TRUE),1)</f>
        <v>51</v>
      </c>
      <c r="S886" s="42" t="str">
        <f>VLOOKUP($D886,Sheet1!$M$5:$O$192,2,TRUE)</f>
        <v>.|).</v>
      </c>
      <c r="T886" s="117">
        <f>IF(ABS(D886-VLOOKUP($D886,Sheet1!$M$5:$T$192,8,TRUE))&lt;10^-10,"SoCA",D886-VLOOKUP($D886,Sheet1!$M$5:$T$192,8,TRUE))</f>
        <v>2.6960295202655971E-2</v>
      </c>
      <c r="U886" s="125" t="str">
        <f>IF(VLOOKUP($D886,Sheet1!$M$5:$U$192,9,TRUE)=0,"",IF(ABS(D886-VLOOKUP($D886,Sheet1!$M$5:$U$192,9,TRUE))&lt;10^-10,"Alt.",D886-VLOOKUP($D886,Sheet1!$M$5:$U$192,9,TRUE)))</f>
        <v>Alt.</v>
      </c>
      <c r="V886" s="132">
        <f>$D886-Sheet1!$M$3*$R886</f>
        <v>3.0772613760124301E-2</v>
      </c>
      <c r="Z886" s="6"/>
      <c r="AA886" s="61"/>
    </row>
    <row r="887" spans="1:27" ht="13.5">
      <c r="A887" s="6" t="s">
        <v>1894</v>
      </c>
      <c r="B887">
        <v>5373459</v>
      </c>
      <c r="C887">
        <v>5451776</v>
      </c>
      <c r="D887" s="13">
        <f t="shared" si="18"/>
        <v>25.050250201960338</v>
      </c>
      <c r="E887" s="61">
        <v>13</v>
      </c>
      <c r="F887" s="65">
        <v>107.95008819904277</v>
      </c>
      <c r="G887" s="59">
        <v>1730</v>
      </c>
      <c r="H887" s="63">
        <v>1000099</v>
      </c>
      <c r="I887" s="65">
        <v>-11.542435167964943</v>
      </c>
      <c r="J887" s="6">
        <f>VLOOKUP($D887,Sheet1!$A$5:$C$192,3,TRUE)</f>
        <v>5</v>
      </c>
      <c r="K887" s="42" t="str">
        <f>VLOOKUP($D887,Sheet1!$A$5:$C$192,2,TRUE)</f>
        <v>|)</v>
      </c>
      <c r="L887" s="6">
        <f>FLOOR(VLOOKUP($D887,Sheet1!$D$5:$F$192,3,TRUE),1)</f>
        <v>10</v>
      </c>
      <c r="M887" s="42" t="str">
        <f>VLOOKUP($D887,Sheet1!$D$5:$F$192,2,TRUE)</f>
        <v>)/|</v>
      </c>
      <c r="N887" s="23">
        <f>FLOOR(VLOOKUP($D887,Sheet1!$G$5:$I$192,3,TRUE),1)</f>
        <v>13</v>
      </c>
      <c r="O887" s="42" t="str">
        <f>VLOOKUP($D887,Sheet1!$G$5:$I$192,2,TRUE)</f>
        <v>.|)</v>
      </c>
      <c r="P887" s="23">
        <v>1</v>
      </c>
      <c r="Q887" s="43" t="str">
        <f>VLOOKUP($D887,Sheet1!$J$5:$L$192,2,TRUE)</f>
        <v>.|).</v>
      </c>
      <c r="R887" s="23">
        <f>FLOOR(VLOOKUP($D887,Sheet1!$M$5:$O$192,3,TRUE),1)</f>
        <v>51</v>
      </c>
      <c r="S887" s="42" t="str">
        <f>VLOOKUP($D887,Sheet1!$M$5:$O$192,2,TRUE)</f>
        <v>.|).</v>
      </c>
      <c r="T887" s="117">
        <f>IF(ABS(D887-VLOOKUP($D887,Sheet1!$M$5:$T$192,8,TRUE))&lt;10^-10,"SoCA",D887-VLOOKUP($D887,Sheet1!$M$5:$T$192,8,TRUE))</f>
        <v>0.16259535574918615</v>
      </c>
      <c r="U887" s="109">
        <f>IF(VLOOKUP($D887,Sheet1!$M$5:$U$192,9,TRUE)=0,"",IF(ABS(D887-VLOOKUP($D887,Sheet1!$M$5:$U$192,9,TRUE))&lt;10^-10,"Alt.",D887-VLOOKUP($D887,Sheet1!$M$5:$U$192,9,TRUE)))</f>
        <v>0.13563506054675045</v>
      </c>
      <c r="V887" s="132">
        <f>$D887-Sheet1!$M$3*$R887</f>
        <v>0.16640767430665449</v>
      </c>
      <c r="Z887" s="6"/>
      <c r="AA887" s="61"/>
    </row>
    <row r="888" spans="1:27" ht="13.5">
      <c r="A888" t="s">
        <v>541</v>
      </c>
      <c r="B888">
        <v>765</v>
      </c>
      <c r="C888">
        <v>776</v>
      </c>
      <c r="D888" s="13">
        <f t="shared" si="18"/>
        <v>24.716285528536186</v>
      </c>
      <c r="E888" s="61" t="s">
        <v>1931</v>
      </c>
      <c r="F888" s="65">
        <v>143.00514432135884</v>
      </c>
      <c r="G888" s="6">
        <v>420</v>
      </c>
      <c r="H888" s="6">
        <v>384</v>
      </c>
      <c r="I888" s="65">
        <v>-3.5218717463226694</v>
      </c>
      <c r="J888" s="6">
        <f>VLOOKUP($D888,Sheet1!$A$5:$C$192,3,TRUE)</f>
        <v>5</v>
      </c>
      <c r="K888" s="42" t="str">
        <f>VLOOKUP($D888,Sheet1!$A$5:$C$192,2,TRUE)</f>
        <v>|)</v>
      </c>
      <c r="L888" s="6">
        <f>FLOOR(VLOOKUP($D888,Sheet1!$D$5:$F$192,3,TRUE),1)</f>
        <v>10</v>
      </c>
      <c r="M888" s="42" t="str">
        <f>VLOOKUP($D888,Sheet1!$D$5:$F$192,2,TRUE)</f>
        <v>)/|</v>
      </c>
      <c r="N888" s="23">
        <f>FLOOR(VLOOKUP($D888,Sheet1!$G$5:$I$192,3,TRUE),1)</f>
        <v>13</v>
      </c>
      <c r="O888" s="42" t="str">
        <f>VLOOKUP($D888,Sheet1!$G$5:$I$192,2,TRUE)</f>
        <v>)/|</v>
      </c>
      <c r="P888" s="23">
        <v>1</v>
      </c>
      <c r="Q888" s="43" t="str">
        <f>VLOOKUP($D888,Sheet1!$J$5:$L$192,2,TRUE)</f>
        <v>)/|</v>
      </c>
      <c r="R888" s="23">
        <f>FLOOR(VLOOKUP($D888,Sheet1!$M$5:$O$192,3,TRUE),1)</f>
        <v>51</v>
      </c>
      <c r="S888" s="42" t="str">
        <f>VLOOKUP($D888,Sheet1!$M$5:$O$192,2,TRUE)</f>
        <v>)/|</v>
      </c>
      <c r="T888" s="117">
        <f>IF(ABS(D888-VLOOKUP($D888,Sheet1!$M$5:$T$192,8,TRUE))&lt;10^-10,"SoCA",D888-VLOOKUP($D888,Sheet1!$M$5:$T$192,8,TRUE))</f>
        <v>-0.16802279664358721</v>
      </c>
      <c r="U888" s="109" t="str">
        <f>IF(VLOOKUP($D888,Sheet1!$M$5:$U$192,9,TRUE)=0,"",IF(ABS(D888-VLOOKUP($D888,Sheet1!$M$5:$U$192,9,TRUE))&lt;10^-10,"Alt.",D888-VLOOKUP($D888,Sheet1!$M$5:$U$192,9,TRUE)))</f>
        <v/>
      </c>
      <c r="V888" s="132">
        <f>$D888-Sheet1!$M$3*$R888</f>
        <v>-0.16755699911749744</v>
      </c>
      <c r="Z888" s="6"/>
      <c r="AA888" s="61"/>
    </row>
    <row r="889" spans="1:27" ht="13.5">
      <c r="A889" t="s">
        <v>1560</v>
      </c>
      <c r="B889">
        <v>32768000</v>
      </c>
      <c r="C889">
        <v>33244587</v>
      </c>
      <c r="D889" s="13">
        <f t="shared" si="18"/>
        <v>24.998201555645199</v>
      </c>
      <c r="E889" s="61" t="s">
        <v>1931</v>
      </c>
      <c r="F889" s="65">
        <v>833.38969468774405</v>
      </c>
      <c r="G889" s="6">
        <v>1466</v>
      </c>
      <c r="H889" s="6">
        <v>1409</v>
      </c>
      <c r="I889" s="65">
        <v>8.4607696568122233</v>
      </c>
      <c r="J889" s="6">
        <f>VLOOKUP($D889,Sheet1!$A$5:$C$192,3,TRUE)</f>
        <v>5</v>
      </c>
      <c r="K889" s="42" t="str">
        <f>VLOOKUP($D889,Sheet1!$A$5:$C$192,2,TRUE)</f>
        <v>|)</v>
      </c>
      <c r="L889" s="6">
        <f>FLOOR(VLOOKUP($D889,Sheet1!$D$5:$F$192,3,TRUE),1)</f>
        <v>10</v>
      </c>
      <c r="M889" s="42" t="str">
        <f>VLOOKUP($D889,Sheet1!$D$5:$F$192,2,TRUE)</f>
        <v>)/|</v>
      </c>
      <c r="N889" s="23">
        <f>FLOOR(VLOOKUP($D889,Sheet1!$G$5:$I$192,3,TRUE),1)</f>
        <v>13</v>
      </c>
      <c r="O889" s="42" t="str">
        <f>VLOOKUP($D889,Sheet1!$G$5:$I$192,2,TRUE)</f>
        <v>.|)</v>
      </c>
      <c r="P889" s="23">
        <v>1</v>
      </c>
      <c r="Q889" s="43" t="str">
        <f>VLOOKUP($D889,Sheet1!$J$5:$L$192,2,TRUE)</f>
        <v>.|).</v>
      </c>
      <c r="R889" s="23">
        <f>FLOOR(VLOOKUP($D889,Sheet1!$M$5:$O$192,3,TRUE),1)</f>
        <v>51</v>
      </c>
      <c r="S889" s="42" t="str">
        <f>VLOOKUP($D889,Sheet1!$M$5:$O$192,2,TRUE)</f>
        <v>.|).</v>
      </c>
      <c r="T889" s="117">
        <f>IF(ABS(D889-VLOOKUP($D889,Sheet1!$M$5:$T$192,8,TRUE))&lt;10^-10,"SoCA",D889-VLOOKUP($D889,Sheet1!$M$5:$T$192,8,TRUE))</f>
        <v>0.11054670943404687</v>
      </c>
      <c r="U889" s="109">
        <f>IF(VLOOKUP($D889,Sheet1!$M$5:$U$192,9,TRUE)=0,"",IF(ABS(D889-VLOOKUP($D889,Sheet1!$M$5:$U$192,9,TRUE))&lt;10^-10,"Alt.",D889-VLOOKUP($D889,Sheet1!$M$5:$U$192,9,TRUE)))</f>
        <v>8.3586414231611172E-2</v>
      </c>
      <c r="V889" s="132">
        <f>$D889-Sheet1!$M$3*$R889</f>
        <v>0.11435902799151521</v>
      </c>
      <c r="Z889" s="6"/>
      <c r="AA889" s="61"/>
    </row>
    <row r="890" spans="1:27" ht="13.5">
      <c r="A890" t="s">
        <v>1184</v>
      </c>
      <c r="B890">
        <v>276480</v>
      </c>
      <c r="C890">
        <v>280453</v>
      </c>
      <c r="D890" s="13">
        <f t="shared" si="18"/>
        <v>24.700671561047617</v>
      </c>
      <c r="E890" s="61" t="s">
        <v>1931</v>
      </c>
      <c r="F890" s="65">
        <v>280459.07264779502</v>
      </c>
      <c r="G890" s="6">
        <v>1088</v>
      </c>
      <c r="H890" s="6">
        <v>1033</v>
      </c>
      <c r="I890" s="65">
        <v>-4.5209103374596173</v>
      </c>
      <c r="J890" s="6">
        <f>VLOOKUP($D890,Sheet1!$A$5:$C$192,3,TRUE)</f>
        <v>5</v>
      </c>
      <c r="K890" s="42" t="str">
        <f>VLOOKUP($D890,Sheet1!$A$5:$C$192,2,TRUE)</f>
        <v>|)</v>
      </c>
      <c r="L890" s="6">
        <f>FLOOR(VLOOKUP($D890,Sheet1!$D$5:$F$192,3,TRUE),1)</f>
        <v>10</v>
      </c>
      <c r="M890" s="42" t="str">
        <f>VLOOKUP($D890,Sheet1!$D$5:$F$192,2,TRUE)</f>
        <v>)/|</v>
      </c>
      <c r="N890" s="23">
        <f>FLOOR(VLOOKUP($D890,Sheet1!$G$5:$I$192,3,TRUE),1)</f>
        <v>13</v>
      </c>
      <c r="O890" s="42" t="str">
        <f>VLOOKUP($D890,Sheet1!$G$5:$I$192,2,TRUE)</f>
        <v>)/|</v>
      </c>
      <c r="P890" s="23">
        <v>1</v>
      </c>
      <c r="Q890" s="43" t="str">
        <f>VLOOKUP($D890,Sheet1!$J$5:$L$192,2,TRUE)</f>
        <v>)/|</v>
      </c>
      <c r="R890" s="23">
        <f>FLOOR(VLOOKUP($D890,Sheet1!$M$5:$O$192,3,TRUE),1)</f>
        <v>51</v>
      </c>
      <c r="S890" s="42" t="str">
        <f>VLOOKUP($D890,Sheet1!$M$5:$O$192,2,TRUE)</f>
        <v>)/|</v>
      </c>
      <c r="T890" s="117">
        <f>IF(ABS(D890-VLOOKUP($D890,Sheet1!$M$5:$T$192,8,TRUE))&lt;10^-10,"SoCA",D890-VLOOKUP($D890,Sheet1!$M$5:$T$192,8,TRUE))</f>
        <v>-0.18363676413215657</v>
      </c>
      <c r="U890" s="109" t="str">
        <f>IF(VLOOKUP($D890,Sheet1!$M$5:$U$192,9,TRUE)=0,"",IF(ABS(D890-VLOOKUP($D890,Sheet1!$M$5:$U$192,9,TRUE))&lt;10^-10,"Alt.",D890-VLOOKUP($D890,Sheet1!$M$5:$U$192,9,TRUE)))</f>
        <v/>
      </c>
      <c r="V890" s="132">
        <f>$D890-Sheet1!$M$3*$R890</f>
        <v>-0.1831709666060668</v>
      </c>
      <c r="Z890" s="6"/>
      <c r="AA890" s="61"/>
    </row>
    <row r="891" spans="1:27" ht="13.5">
      <c r="A891" s="52" t="s">
        <v>108</v>
      </c>
      <c r="B891" s="52">
        <f>2^2*17</f>
        <v>68</v>
      </c>
      <c r="C891" s="52">
        <f>3*23</f>
        <v>69</v>
      </c>
      <c r="D891" s="13">
        <f t="shared" si="18"/>
        <v>25.273938633395485</v>
      </c>
      <c r="E891" s="61">
        <v>23</v>
      </c>
      <c r="F891" s="65">
        <v>40.035828238571767</v>
      </c>
      <c r="G891" s="6">
        <v>97</v>
      </c>
      <c r="H891" s="6">
        <v>89</v>
      </c>
      <c r="I891" s="65">
        <v>-0.55620847962972886</v>
      </c>
      <c r="J891" s="6">
        <f>VLOOKUP($D891,Sheet1!$A$5:$C$192,3,TRUE)</f>
        <v>5</v>
      </c>
      <c r="K891" s="42" t="str">
        <f>VLOOKUP($D891,Sheet1!$A$5:$C$192,2,TRUE)</f>
        <v>|)</v>
      </c>
      <c r="L891" s="6">
        <f>FLOOR(VLOOKUP($D891,Sheet1!$D$5:$F$192,3,TRUE),1)</f>
        <v>10</v>
      </c>
      <c r="M891" s="42" t="str">
        <f>VLOOKUP($D891,Sheet1!$D$5:$F$192,2,TRUE)</f>
        <v>)/|</v>
      </c>
      <c r="N891" s="23">
        <f>FLOOR(VLOOKUP($D891,Sheet1!$G$5:$I$192,3,TRUE),1)</f>
        <v>13</v>
      </c>
      <c r="O891" s="43" t="str">
        <f>VLOOKUP($D891,Sheet1!$G$5:$I$192,2,TRUE)</f>
        <v>.|)</v>
      </c>
      <c r="P891" s="23">
        <v>1</v>
      </c>
      <c r="Q891" s="43" t="str">
        <f>VLOOKUP($D891,Sheet1!$J$5:$L$192,2,TRUE)</f>
        <v>.|)</v>
      </c>
      <c r="R891" s="40">
        <f>FLOOR(VLOOKUP($D891,Sheet1!$M$5:$O$192,3,TRUE),1)</f>
        <v>52</v>
      </c>
      <c r="S891" s="46" t="str">
        <f>VLOOKUP($D891,Sheet1!$M$5:$O$192,2,TRUE)</f>
        <v>)/|'</v>
      </c>
      <c r="T891" s="115">
        <f>IF(ABS(D891-VLOOKUP($D891,Sheet1!$M$5:$T$192,8,TRUE))&lt;10^-10,"SoCA",D891-VLOOKUP($D891,Sheet1!$M$5:$T$192,8,TRUE))</f>
        <v>-3.3085857739113322E-2</v>
      </c>
      <c r="U891" s="115">
        <f>IF(VLOOKUP($D891,Sheet1!$M$5:$U$192,9,TRUE)=0,"",IF(ABS(D891-VLOOKUP($D891,Sheet1!$M$5:$U$192,9,TRUE))&lt;10^-10,"Alt.",D891-VLOOKUP($D891,Sheet1!$M$5:$U$192,9,TRUE)))</f>
        <v>-6.1255625366776201E-3</v>
      </c>
      <c r="V891" s="132">
        <f>$D891-Sheet1!$M$3*$R891</f>
        <v>-9.7822375192585298E-2</v>
      </c>
      <c r="Z891" s="6"/>
      <c r="AA891" s="61"/>
    </row>
    <row r="892" spans="1:27" ht="13.5">
      <c r="A892" t="s">
        <v>976</v>
      </c>
      <c r="B892">
        <v>21952</v>
      </c>
      <c r="C892">
        <v>22275</v>
      </c>
      <c r="D892" s="13">
        <f t="shared" si="18"/>
        <v>25.287654148601362</v>
      </c>
      <c r="E892" s="61">
        <v>11</v>
      </c>
      <c r="F892" s="65">
        <v>42.224074447356514</v>
      </c>
      <c r="G892" s="6">
        <v>887</v>
      </c>
      <c r="H892" s="6">
        <v>824</v>
      </c>
      <c r="I892" s="65">
        <v>2.4429470061307028</v>
      </c>
      <c r="J892" s="6">
        <f>VLOOKUP($D892,Sheet1!$A$5:$C$192,3,TRUE)</f>
        <v>5</v>
      </c>
      <c r="K892" s="42" t="str">
        <f>VLOOKUP($D892,Sheet1!$A$5:$C$192,2,TRUE)</f>
        <v>|)</v>
      </c>
      <c r="L892" s="6">
        <f>FLOOR(VLOOKUP($D892,Sheet1!$D$5:$F$192,3,TRUE),1)</f>
        <v>10</v>
      </c>
      <c r="M892" s="42" t="str">
        <f>VLOOKUP($D892,Sheet1!$D$5:$F$192,2,TRUE)</f>
        <v>)/|</v>
      </c>
      <c r="N892" s="23">
        <f>FLOOR(VLOOKUP($D892,Sheet1!$G$5:$I$192,3,TRUE),1)</f>
        <v>13</v>
      </c>
      <c r="O892" s="42" t="str">
        <f>VLOOKUP($D892,Sheet1!$G$5:$I$192,2,TRUE)</f>
        <v>.|)</v>
      </c>
      <c r="P892" s="23">
        <v>1</v>
      </c>
      <c r="Q892" s="43" t="str">
        <f>VLOOKUP($D892,Sheet1!$J$5:$L$192,2,TRUE)</f>
        <v>.|)</v>
      </c>
      <c r="R892" s="23">
        <f>FLOOR(VLOOKUP($D892,Sheet1!$M$5:$O$192,3,TRUE),1)</f>
        <v>52</v>
      </c>
      <c r="S892" s="42" t="str">
        <f>VLOOKUP($D892,Sheet1!$M$5:$O$192,2,TRUE)</f>
        <v>)/|'</v>
      </c>
      <c r="T892" s="117">
        <f>IF(ABS(D892-VLOOKUP($D892,Sheet1!$M$5:$T$192,8,TRUE))&lt;10^-10,"SoCA",D892-VLOOKUP($D892,Sheet1!$M$5:$T$192,8,TRUE))</f>
        <v>-1.9370342533235885E-2</v>
      </c>
      <c r="U892" s="109">
        <f>IF(VLOOKUP($D892,Sheet1!$M$5:$U$192,9,TRUE)=0,"",IF(ABS(D892-VLOOKUP($D892,Sheet1!$M$5:$U$192,9,TRUE))&lt;10^-10,"Alt.",D892-VLOOKUP($D892,Sheet1!$M$5:$U$192,9,TRUE)))</f>
        <v>7.5899526691998176E-3</v>
      </c>
      <c r="V892" s="132">
        <f>$D892-Sheet1!$M$3*$R892</f>
        <v>-8.410685998670786E-2</v>
      </c>
      <c r="Z892" s="6"/>
      <c r="AA892" s="61"/>
    </row>
    <row r="893" spans="1:27" ht="13.5">
      <c r="A893" s="6" t="s">
        <v>350</v>
      </c>
      <c r="B893" s="6">
        <f>2^7*5^2*11</f>
        <v>35200</v>
      </c>
      <c r="C893" s="6">
        <f>3^6*7^2</f>
        <v>35721</v>
      </c>
      <c r="D893" s="13">
        <f t="shared" si="18"/>
        <v>25.436448036148168</v>
      </c>
      <c r="E893" s="61">
        <v>11</v>
      </c>
      <c r="F893" s="65">
        <v>42.85388455943837</v>
      </c>
      <c r="G893" s="6">
        <v>194</v>
      </c>
      <c r="H893" s="6">
        <v>184</v>
      </c>
      <c r="I893" s="65">
        <v>4.4337852243888003</v>
      </c>
      <c r="J893" s="6">
        <f>VLOOKUP($D893,Sheet1!$A$5:$C$192,3,TRUE)</f>
        <v>5</v>
      </c>
      <c r="K893" s="42" t="str">
        <f>VLOOKUP($D893,Sheet1!$A$5:$C$192,2,TRUE)</f>
        <v>|)</v>
      </c>
      <c r="L893" s="6">
        <f>FLOOR(VLOOKUP($D893,Sheet1!$D$5:$F$192,3,TRUE),1)</f>
        <v>10</v>
      </c>
      <c r="M893" s="42" t="str">
        <f>VLOOKUP($D893,Sheet1!$D$5:$F$192,2,TRUE)</f>
        <v>)/|</v>
      </c>
      <c r="N893" s="23">
        <f>FLOOR(VLOOKUP($D893,Sheet1!$G$5:$I$192,3,TRUE),1)</f>
        <v>13</v>
      </c>
      <c r="O893" s="42" t="str">
        <f>VLOOKUP($D893,Sheet1!$G$5:$I$192,2,TRUE)</f>
        <v>.|)</v>
      </c>
      <c r="P893" s="23">
        <v>1</v>
      </c>
      <c r="Q893" s="43" t="str">
        <f>VLOOKUP($D893,Sheet1!$J$5:$L$192,2,TRUE)</f>
        <v>.|)</v>
      </c>
      <c r="R893" s="23">
        <f>FLOOR(VLOOKUP($D893,Sheet1!$M$5:$O$192,3,TRUE),1)</f>
        <v>52</v>
      </c>
      <c r="S893" s="42" t="str">
        <f>VLOOKUP($D893,Sheet1!$M$5:$O$192,2,TRUE)</f>
        <v>.|)</v>
      </c>
      <c r="T893" s="117">
        <f>IF(ABS(D893-VLOOKUP($D893,Sheet1!$M$5:$T$192,8,TRUE))&lt;10^-10,"SoCA",D893-VLOOKUP($D893,Sheet1!$M$5:$T$192,8,TRUE))</f>
        <v>0.12607702398219089</v>
      </c>
      <c r="U893" s="109" t="str">
        <f>IF(VLOOKUP($D893,Sheet1!$M$5:$U$192,9,TRUE)=0,"",IF(ABS(D893-VLOOKUP($D893,Sheet1!$M$5:$U$192,9,TRUE))&lt;10^-10,"Alt.",D893-VLOOKUP($D893,Sheet1!$M$5:$U$192,9,TRUE)))</f>
        <v/>
      </c>
      <c r="V893" s="132">
        <f>$D893-Sheet1!$M$3*$R893</f>
        <v>6.4687027560097476E-2</v>
      </c>
      <c r="Z893" s="6"/>
      <c r="AA893" s="61"/>
    </row>
    <row r="894" spans="1:27" ht="13.5">
      <c r="A894" t="s">
        <v>1365</v>
      </c>
      <c r="B894">
        <v>226304</v>
      </c>
      <c r="C894">
        <v>229635</v>
      </c>
      <c r="D894" s="13">
        <f t="shared" si="18"/>
        <v>25.296555987341304</v>
      </c>
      <c r="E894" s="61">
        <v>17</v>
      </c>
      <c r="F894" s="65">
        <v>45.584845731106675</v>
      </c>
      <c r="G894" s="6">
        <v>1279</v>
      </c>
      <c r="H894" s="6">
        <v>1214</v>
      </c>
      <c r="I894" s="65">
        <v>6.44239888748832</v>
      </c>
      <c r="J894" s="6">
        <f>VLOOKUP($D894,Sheet1!$A$5:$C$192,3,TRUE)</f>
        <v>5</v>
      </c>
      <c r="K894" s="42" t="str">
        <f>VLOOKUP($D894,Sheet1!$A$5:$C$192,2,TRUE)</f>
        <v>|)</v>
      </c>
      <c r="L894" s="6">
        <f>FLOOR(VLOOKUP($D894,Sheet1!$D$5:$F$192,3,TRUE),1)</f>
        <v>10</v>
      </c>
      <c r="M894" s="42" t="str">
        <f>VLOOKUP($D894,Sheet1!$D$5:$F$192,2,TRUE)</f>
        <v>)/|</v>
      </c>
      <c r="N894" s="23">
        <f>FLOOR(VLOOKUP($D894,Sheet1!$G$5:$I$192,3,TRUE),1)</f>
        <v>13</v>
      </c>
      <c r="O894" s="42" t="str">
        <f>VLOOKUP($D894,Sheet1!$G$5:$I$192,2,TRUE)</f>
        <v>.|)</v>
      </c>
      <c r="P894" s="23">
        <v>1</v>
      </c>
      <c r="Q894" s="43" t="str">
        <f>VLOOKUP($D894,Sheet1!$J$5:$L$192,2,TRUE)</f>
        <v>.|)</v>
      </c>
      <c r="R894" s="23">
        <f>FLOOR(VLOOKUP($D894,Sheet1!$M$5:$O$192,3,TRUE),1)</f>
        <v>52</v>
      </c>
      <c r="S894" s="42" t="str">
        <f>VLOOKUP($D894,Sheet1!$M$5:$O$192,2,TRUE)</f>
        <v>.|)</v>
      </c>
      <c r="T894" s="117">
        <f>IF(ABS(D894-VLOOKUP($D894,Sheet1!$M$5:$T$192,8,TRUE))&lt;10^-10,"SoCA",D894-VLOOKUP($D894,Sheet1!$M$5:$T$192,8,TRUE))</f>
        <v>-1.3815024824673117E-2</v>
      </c>
      <c r="U894" s="109" t="str">
        <f>IF(VLOOKUP($D894,Sheet1!$M$5:$U$192,9,TRUE)=0,"",IF(ABS(D894-VLOOKUP($D894,Sheet1!$M$5:$U$192,9,TRUE))&lt;10^-10,"Alt.",D894-VLOOKUP($D894,Sheet1!$M$5:$U$192,9,TRUE)))</f>
        <v/>
      </c>
      <c r="V894" s="132">
        <f>$D894-Sheet1!$M$3*$R894</f>
        <v>-7.5205021246766535E-2</v>
      </c>
      <c r="Z894" s="6"/>
      <c r="AA894" s="61"/>
    </row>
    <row r="895" spans="1:27" ht="13.5">
      <c r="A895" s="39" t="s">
        <v>1796</v>
      </c>
      <c r="B895" s="149">
        <f>3^10*5*7</f>
        <v>2066715</v>
      </c>
      <c r="C895" s="50">
        <f>2^21</f>
        <v>2097152</v>
      </c>
      <c r="D895" s="13">
        <f t="shared" si="18"/>
        <v>25.310371012165891</v>
      </c>
      <c r="E895" s="61">
        <v>7</v>
      </c>
      <c r="F895" s="65">
        <v>46.249790012389361</v>
      </c>
      <c r="G895" s="59">
        <v>76</v>
      </c>
      <c r="H895" s="63">
        <v>1000001</v>
      </c>
      <c r="I895" s="65">
        <v>-11.558451753921005</v>
      </c>
      <c r="J895" s="6">
        <f>VLOOKUP($D895,Sheet1!$A$5:$C$192,3,TRUE)</f>
        <v>5</v>
      </c>
      <c r="K895" s="42" t="str">
        <f>VLOOKUP($D895,Sheet1!$A$5:$C$192,2,TRUE)</f>
        <v>|)</v>
      </c>
      <c r="L895" s="6">
        <f>FLOOR(VLOOKUP($D895,Sheet1!$D$5:$F$192,3,TRUE),1)</f>
        <v>10</v>
      </c>
      <c r="M895" s="42" t="str">
        <f>VLOOKUP($D895,Sheet1!$D$5:$F$192,2,TRUE)</f>
        <v>)/|</v>
      </c>
      <c r="N895" s="39">
        <f>FLOOR(VLOOKUP($D895,Sheet1!$G$5:$I$192,3,TRUE),1)</f>
        <v>13</v>
      </c>
      <c r="O895" s="44" t="str">
        <f>VLOOKUP($D895,Sheet1!$G$5:$I$192,2,TRUE)</f>
        <v>.|)</v>
      </c>
      <c r="P895" s="39">
        <v>1</v>
      </c>
      <c r="Q895" s="44" t="str">
        <f>VLOOKUP($D895,Sheet1!$J$5:$L$192,2,TRUE)</f>
        <v>.|)</v>
      </c>
      <c r="R895" s="39">
        <f>FLOOR(VLOOKUP($D895,Sheet1!$M$5:$O$192,3,TRUE),1)</f>
        <v>52</v>
      </c>
      <c r="S895" s="44" t="str">
        <f>VLOOKUP($D895,Sheet1!$M$5:$O$192,2,TRUE)</f>
        <v>.|)</v>
      </c>
      <c r="T895" s="113" t="str">
        <f>IF(ABS(D895-VLOOKUP($D895,Sheet1!$M$5:$T$192,8,TRUE))&lt;10^-10,"SoCA",D895-VLOOKUP($D895,Sheet1!$M$5:$T$192,8,TRUE))</f>
        <v>SoCA</v>
      </c>
      <c r="U895" s="118" t="str">
        <f>IF(VLOOKUP($D895,Sheet1!$M$5:$U$192,9,TRUE)=0,"",IF(ABS(D895-VLOOKUP($D895,Sheet1!$M$5:$U$192,9,TRUE))&lt;10^-10,"Alt.",D895-VLOOKUP($D895,Sheet1!$M$5:$U$192,9,TRUE)))</f>
        <v/>
      </c>
      <c r="V895" s="136">
        <f>$D895-Sheet1!$M$3*$R895</f>
        <v>-6.1389996422178683E-2</v>
      </c>
      <c r="Z895" s="6"/>
      <c r="AA895" s="61"/>
    </row>
    <row r="896" spans="1:27" ht="13.5">
      <c r="A896" t="s">
        <v>442</v>
      </c>
      <c r="B896">
        <v>7424</v>
      </c>
      <c r="C896">
        <v>7533</v>
      </c>
      <c r="D896" s="13">
        <f t="shared" si="18"/>
        <v>25.23338263810081</v>
      </c>
      <c r="E896" s="61">
        <v>31</v>
      </c>
      <c r="F896" s="65">
        <v>60.489050179822485</v>
      </c>
      <c r="G896" s="6">
        <v>308</v>
      </c>
      <c r="H896" s="6">
        <v>280</v>
      </c>
      <c r="I896" s="65">
        <v>3.4462887007540992</v>
      </c>
      <c r="J896" s="6">
        <f>VLOOKUP($D896,Sheet1!$A$5:$C$192,3,TRUE)</f>
        <v>5</v>
      </c>
      <c r="K896" s="42" t="str">
        <f>VLOOKUP($D896,Sheet1!$A$5:$C$192,2,TRUE)</f>
        <v>|)</v>
      </c>
      <c r="L896" s="6">
        <f>FLOOR(VLOOKUP($D896,Sheet1!$D$5:$F$192,3,TRUE),1)</f>
        <v>10</v>
      </c>
      <c r="M896" s="42" t="str">
        <f>VLOOKUP($D896,Sheet1!$D$5:$F$192,2,TRUE)</f>
        <v>)/|</v>
      </c>
      <c r="N896" s="23">
        <f>FLOOR(VLOOKUP($D896,Sheet1!$G$5:$I$192,3,TRUE),1)</f>
        <v>13</v>
      </c>
      <c r="O896" s="42" t="str">
        <f>VLOOKUP($D896,Sheet1!$G$5:$I$192,2,TRUE)</f>
        <v>.|)</v>
      </c>
      <c r="P896" s="23">
        <v>1</v>
      </c>
      <c r="Q896" s="43" t="str">
        <f>VLOOKUP($D896,Sheet1!$J$5:$L$192,2,TRUE)</f>
        <v>.|)</v>
      </c>
      <c r="R896" s="23">
        <f>FLOOR(VLOOKUP($D896,Sheet1!$M$5:$O$192,3,TRUE),1)</f>
        <v>52</v>
      </c>
      <c r="S896" s="42" t="str">
        <f>VLOOKUP($D896,Sheet1!$M$5:$O$192,2,TRUE)</f>
        <v>)/|'</v>
      </c>
      <c r="T896" s="117">
        <f>IF(ABS(D896-VLOOKUP($D896,Sheet1!$M$5:$T$192,8,TRUE))&lt;10^-10,"SoCA",D896-VLOOKUP($D896,Sheet1!$M$5:$T$192,8,TRUE))</f>
        <v>-7.3641853033787896E-2</v>
      </c>
      <c r="U896" s="109">
        <f>IF(VLOOKUP($D896,Sheet1!$M$5:$U$192,9,TRUE)=0,"",IF(ABS(D896-VLOOKUP($D896,Sheet1!$M$5:$U$192,9,TRUE))&lt;10^-10,"Alt.",D896-VLOOKUP($D896,Sheet1!$M$5:$U$192,9,TRUE)))</f>
        <v>-4.6681557831352194E-2</v>
      </c>
      <c r="V896" s="132">
        <f>$D896-Sheet1!$M$3*$R896</f>
        <v>-0.13837837048725987</v>
      </c>
      <c r="Z896" s="6"/>
      <c r="AA896" s="61"/>
    </row>
    <row r="897" spans="1:27" ht="13.5">
      <c r="A897" t="s">
        <v>1676</v>
      </c>
      <c r="B897">
        <v>174592</v>
      </c>
      <c r="C897">
        <v>177147</v>
      </c>
      <c r="D897" s="13">
        <f t="shared" si="18"/>
        <v>25.151494690254658</v>
      </c>
      <c r="E897" s="61">
        <v>31</v>
      </c>
      <c r="F897" s="65">
        <v>87.523928578134885</v>
      </c>
      <c r="G897" s="6">
        <v>1579</v>
      </c>
      <c r="H897" s="6">
        <v>1525</v>
      </c>
      <c r="I897" s="65">
        <v>9.4513308400370235</v>
      </c>
      <c r="J897" s="6">
        <f>VLOOKUP($D897,Sheet1!$A$5:$C$192,3,TRUE)</f>
        <v>5</v>
      </c>
      <c r="K897" s="42" t="str">
        <f>VLOOKUP($D897,Sheet1!$A$5:$C$192,2,TRUE)</f>
        <v>|)</v>
      </c>
      <c r="L897" s="6">
        <f>FLOOR(VLOOKUP($D897,Sheet1!$D$5:$F$192,3,TRUE),1)</f>
        <v>10</v>
      </c>
      <c r="M897" s="42" t="str">
        <f>VLOOKUP($D897,Sheet1!$D$5:$F$192,2,TRUE)</f>
        <v>)/|</v>
      </c>
      <c r="N897" s="23">
        <f>FLOOR(VLOOKUP($D897,Sheet1!$G$5:$I$192,3,TRUE),1)</f>
        <v>13</v>
      </c>
      <c r="O897" s="42" t="str">
        <f>VLOOKUP($D897,Sheet1!$G$5:$I$192,2,TRUE)</f>
        <v>.|)</v>
      </c>
      <c r="P897" s="23">
        <v>1</v>
      </c>
      <c r="Q897" s="43" t="str">
        <f>VLOOKUP($D897,Sheet1!$J$5:$L$192,2,TRUE)</f>
        <v>.|)</v>
      </c>
      <c r="R897" s="23">
        <f>FLOOR(VLOOKUP($D897,Sheet1!$M$5:$O$192,3,TRUE),1)</f>
        <v>52</v>
      </c>
      <c r="S897" s="42" t="str">
        <f>VLOOKUP($D897,Sheet1!$M$5:$O$192,2,TRUE)</f>
        <v>)/|'</v>
      </c>
      <c r="T897" s="117">
        <f>IF(ABS(D897-VLOOKUP($D897,Sheet1!$M$5:$T$192,8,TRUE))&lt;10^-10,"SoCA",D897-VLOOKUP($D897,Sheet1!$M$5:$T$192,8,TRUE))</f>
        <v>-0.15552980087993973</v>
      </c>
      <c r="U897" s="109">
        <f>IF(VLOOKUP($D897,Sheet1!$M$5:$U$192,9,TRUE)=0,"",IF(ABS(D897-VLOOKUP($D897,Sheet1!$M$5:$U$192,9,TRUE))&lt;10^-10,"Alt.",D897-VLOOKUP($D897,Sheet1!$M$5:$U$192,9,TRUE)))</f>
        <v>-0.12856950567750403</v>
      </c>
      <c r="V897" s="132">
        <f>$D897-Sheet1!$M$3*$R897</f>
        <v>-0.2202663183334117</v>
      </c>
      <c r="Z897" s="6"/>
      <c r="AA897" s="61"/>
    </row>
    <row r="898" spans="1:27" ht="13.5">
      <c r="A898" t="s">
        <v>598</v>
      </c>
      <c r="B898">
        <v>48128</v>
      </c>
      <c r="C898">
        <v>48843</v>
      </c>
      <c r="D898" s="13">
        <f t="shared" si="18"/>
        <v>25.530411728486715</v>
      </c>
      <c r="E898" s="61" t="s">
        <v>1931</v>
      </c>
      <c r="F898" s="65">
        <v>115.12295995086215</v>
      </c>
      <c r="G898" s="6">
        <v>450</v>
      </c>
      <c r="H898" s="6">
        <v>443</v>
      </c>
      <c r="I898" s="65">
        <v>4.4279995375231467</v>
      </c>
      <c r="J898" s="6">
        <f>VLOOKUP($D898,Sheet1!$A$5:$C$192,3,TRUE)</f>
        <v>5</v>
      </c>
      <c r="K898" s="42" t="str">
        <f>VLOOKUP($D898,Sheet1!$A$5:$C$192,2,TRUE)</f>
        <v>|)</v>
      </c>
      <c r="L898" s="6">
        <f>FLOOR(VLOOKUP($D898,Sheet1!$D$5:$F$192,3,TRUE),1)</f>
        <v>10</v>
      </c>
      <c r="M898" s="42" t="str">
        <f>VLOOKUP($D898,Sheet1!$D$5:$F$192,2,TRUE)</f>
        <v>)/|</v>
      </c>
      <c r="N898" s="23">
        <f>FLOOR(VLOOKUP($D898,Sheet1!$G$5:$I$192,3,TRUE),1)</f>
        <v>13</v>
      </c>
      <c r="O898" s="42" t="str">
        <f>VLOOKUP($D898,Sheet1!$G$5:$I$192,2,TRUE)</f>
        <v>.|)</v>
      </c>
      <c r="P898" s="23">
        <v>1</v>
      </c>
      <c r="Q898" s="43" t="str">
        <f>VLOOKUP($D898,Sheet1!$J$5:$L$192,2,TRUE)</f>
        <v>.|)</v>
      </c>
      <c r="R898" s="23">
        <f>FLOOR(VLOOKUP($D898,Sheet1!$M$5:$O$192,3,TRUE),1)</f>
        <v>52</v>
      </c>
      <c r="S898" s="42" t="str">
        <f>VLOOKUP($D898,Sheet1!$M$5:$O$192,2,TRUE)</f>
        <v>.|)</v>
      </c>
      <c r="T898" s="117">
        <f>IF(ABS(D898-VLOOKUP($D898,Sheet1!$M$5:$T$192,8,TRUE))&lt;10^-10,"SoCA",D898-VLOOKUP($D898,Sheet1!$M$5:$T$192,8,TRUE))</f>
        <v>0.22004071632073874</v>
      </c>
      <c r="U898" s="109" t="str">
        <f>IF(VLOOKUP($D898,Sheet1!$M$5:$U$192,9,TRUE)=0,"",IF(ABS(D898-VLOOKUP($D898,Sheet1!$M$5:$U$192,9,TRUE))&lt;10^-10,"Alt.",D898-VLOOKUP($D898,Sheet1!$M$5:$U$192,9,TRUE)))</f>
        <v/>
      </c>
      <c r="V898" s="132">
        <f>$D898-Sheet1!$M$3*$R898</f>
        <v>0.15865071989864532</v>
      </c>
      <c r="Z898" s="6"/>
      <c r="AA898" s="61"/>
    </row>
    <row r="899" spans="1:27" ht="13.5">
      <c r="A899" t="s">
        <v>1279</v>
      </c>
      <c r="B899">
        <v>8829</v>
      </c>
      <c r="C899">
        <v>8960</v>
      </c>
      <c r="D899" s="13">
        <f t="shared" si="18"/>
        <v>25.498427140098553</v>
      </c>
      <c r="E899" s="61" t="s">
        <v>1931</v>
      </c>
      <c r="F899" s="65">
        <v>146.04411287920342</v>
      </c>
      <c r="G899" s="6">
        <v>1187</v>
      </c>
      <c r="H899" s="6">
        <v>1128</v>
      </c>
      <c r="I899" s="65">
        <v>-5.5700310548435947</v>
      </c>
      <c r="J899" s="6">
        <f>VLOOKUP($D899,Sheet1!$A$5:$C$192,3,TRUE)</f>
        <v>5</v>
      </c>
      <c r="K899" s="42" t="str">
        <f>VLOOKUP($D899,Sheet1!$A$5:$C$192,2,TRUE)</f>
        <v>|)</v>
      </c>
      <c r="L899" s="6">
        <f>FLOOR(VLOOKUP($D899,Sheet1!$D$5:$F$192,3,TRUE),1)</f>
        <v>10</v>
      </c>
      <c r="M899" s="42" t="str">
        <f>VLOOKUP($D899,Sheet1!$D$5:$F$192,2,TRUE)</f>
        <v>)/|</v>
      </c>
      <c r="N899" s="23">
        <f>FLOOR(VLOOKUP($D899,Sheet1!$G$5:$I$192,3,TRUE),1)</f>
        <v>13</v>
      </c>
      <c r="O899" s="42" t="str">
        <f>VLOOKUP($D899,Sheet1!$G$5:$I$192,2,TRUE)</f>
        <v>.|)</v>
      </c>
      <c r="P899" s="23">
        <v>1</v>
      </c>
      <c r="Q899" s="43" t="str">
        <f>VLOOKUP($D899,Sheet1!$J$5:$L$192,2,TRUE)</f>
        <v>.|)</v>
      </c>
      <c r="R899" s="23">
        <f>FLOOR(VLOOKUP($D899,Sheet1!$M$5:$O$192,3,TRUE),1)</f>
        <v>52</v>
      </c>
      <c r="S899" s="42" t="str">
        <f>VLOOKUP($D899,Sheet1!$M$5:$O$192,2,TRUE)</f>
        <v>.|)</v>
      </c>
      <c r="T899" s="117">
        <f>IF(ABS(D899-VLOOKUP($D899,Sheet1!$M$5:$T$192,8,TRUE))&lt;10^-10,"SoCA",D899-VLOOKUP($D899,Sheet1!$M$5:$T$192,8,TRUE))</f>
        <v>0.18805612793257609</v>
      </c>
      <c r="U899" s="109" t="str">
        <f>IF(VLOOKUP($D899,Sheet1!$M$5:$U$192,9,TRUE)=0,"",IF(ABS(D899-VLOOKUP($D899,Sheet1!$M$5:$U$192,9,TRUE))&lt;10^-10,"Alt.",D899-VLOOKUP($D899,Sheet1!$M$5:$U$192,9,TRUE)))</f>
        <v/>
      </c>
      <c r="V899" s="132">
        <f>$D899-Sheet1!$M$3*$R899</f>
        <v>0.12666613151048267</v>
      </c>
      <c r="Z899" s="6"/>
      <c r="AA899" s="61"/>
    </row>
    <row r="900" spans="1:27" ht="13.5">
      <c r="A900" s="6" t="s">
        <v>1895</v>
      </c>
      <c r="B900">
        <v>529019991</v>
      </c>
      <c r="C900">
        <v>536870912</v>
      </c>
      <c r="D900" s="13">
        <f t="shared" ref="D900:D963" si="19">1200*LN($C900/$B900)/LN(2)</f>
        <v>25.503599881061017</v>
      </c>
      <c r="E900" s="61">
        <v>31</v>
      </c>
      <c r="F900" s="65">
        <v>151.21111107647388</v>
      </c>
      <c r="G900" s="59">
        <v>1731</v>
      </c>
      <c r="H900" s="63">
        <v>1000100</v>
      </c>
      <c r="I900" s="65">
        <v>-11.570349559349975</v>
      </c>
      <c r="J900" s="6">
        <f>VLOOKUP($D900,Sheet1!$A$5:$C$192,3,TRUE)</f>
        <v>5</v>
      </c>
      <c r="K900" s="42" t="str">
        <f>VLOOKUP($D900,Sheet1!$A$5:$C$192,2,TRUE)</f>
        <v>|)</v>
      </c>
      <c r="L900" s="6">
        <f>FLOOR(VLOOKUP($D900,Sheet1!$D$5:$F$192,3,TRUE),1)</f>
        <v>10</v>
      </c>
      <c r="M900" s="42" t="str">
        <f>VLOOKUP($D900,Sheet1!$D$5:$F$192,2,TRUE)</f>
        <v>)/|</v>
      </c>
      <c r="N900" s="23">
        <f>FLOOR(VLOOKUP($D900,Sheet1!$G$5:$I$192,3,TRUE),1)</f>
        <v>13</v>
      </c>
      <c r="O900" s="42" t="str">
        <f>VLOOKUP($D900,Sheet1!$G$5:$I$192,2,TRUE)</f>
        <v>.|)</v>
      </c>
      <c r="P900" s="23">
        <v>1</v>
      </c>
      <c r="Q900" s="43" t="str">
        <f>VLOOKUP($D900,Sheet1!$J$5:$L$192,2,TRUE)</f>
        <v>.|)</v>
      </c>
      <c r="R900" s="23">
        <f>FLOOR(VLOOKUP($D900,Sheet1!$M$5:$O$192,3,TRUE),1)</f>
        <v>52</v>
      </c>
      <c r="S900" s="42" t="str">
        <f>VLOOKUP($D900,Sheet1!$M$5:$O$192,2,TRUE)</f>
        <v>.|)</v>
      </c>
      <c r="T900" s="117">
        <f>IF(ABS(D900-VLOOKUP($D900,Sheet1!$M$5:$T$192,8,TRUE))&lt;10^-10,"SoCA",D900-VLOOKUP($D900,Sheet1!$M$5:$T$192,8,TRUE))</f>
        <v>0.19322886889504076</v>
      </c>
      <c r="U900" s="109" t="str">
        <f>IF(VLOOKUP($D900,Sheet1!$M$5:$U$192,9,TRUE)=0,"",IF(ABS(D900-VLOOKUP($D900,Sheet1!$M$5:$U$192,9,TRUE))&lt;10^-10,"Alt.",D900-VLOOKUP($D900,Sheet1!$M$5:$U$192,9,TRUE)))</f>
        <v/>
      </c>
      <c r="V900" s="132">
        <f>$D900-Sheet1!$M$3*$R900</f>
        <v>0.13183887247294734</v>
      </c>
      <c r="Z900" s="6"/>
      <c r="AA900" s="61"/>
    </row>
    <row r="901" spans="1:27" ht="13.5">
      <c r="A901" t="s">
        <v>1461</v>
      </c>
      <c r="B901">
        <v>34359738368</v>
      </c>
      <c r="C901">
        <v>34869635163</v>
      </c>
      <c r="D901" s="13">
        <f t="shared" si="19"/>
        <v>25.502661977027007</v>
      </c>
      <c r="E901" s="61">
        <v>11</v>
      </c>
      <c r="F901" s="65">
        <v>153.17671022875703</v>
      </c>
      <c r="G901" s="6">
        <v>1374</v>
      </c>
      <c r="H901" s="6">
        <v>1310</v>
      </c>
      <c r="I901" s="65">
        <v>7.4297081908183698</v>
      </c>
      <c r="J901" s="6">
        <f>VLOOKUP($D901,Sheet1!$A$5:$C$192,3,TRUE)</f>
        <v>5</v>
      </c>
      <c r="K901" s="42" t="str">
        <f>VLOOKUP($D901,Sheet1!$A$5:$C$192,2,TRUE)</f>
        <v>|)</v>
      </c>
      <c r="L901" s="6">
        <f>FLOOR(VLOOKUP($D901,Sheet1!$D$5:$F$192,3,TRUE),1)</f>
        <v>10</v>
      </c>
      <c r="M901" s="42" t="str">
        <f>VLOOKUP($D901,Sheet1!$D$5:$F$192,2,TRUE)</f>
        <v>)/|</v>
      </c>
      <c r="N901" s="23">
        <f>FLOOR(VLOOKUP($D901,Sheet1!$G$5:$I$192,3,TRUE),1)</f>
        <v>13</v>
      </c>
      <c r="O901" s="42" t="str">
        <f>VLOOKUP($D901,Sheet1!$G$5:$I$192,2,TRUE)</f>
        <v>.|)</v>
      </c>
      <c r="P901" s="23">
        <v>1</v>
      </c>
      <c r="Q901" s="43" t="str">
        <f>VLOOKUP($D901,Sheet1!$J$5:$L$192,2,TRUE)</f>
        <v>.|)</v>
      </c>
      <c r="R901" s="23">
        <f>FLOOR(VLOOKUP($D901,Sheet1!$M$5:$O$192,3,TRUE),1)</f>
        <v>52</v>
      </c>
      <c r="S901" s="42" t="str">
        <f>VLOOKUP($D901,Sheet1!$M$5:$O$192,2,TRUE)</f>
        <v>.|)</v>
      </c>
      <c r="T901" s="117">
        <f>IF(ABS(D901-VLOOKUP($D901,Sheet1!$M$5:$T$192,8,TRUE))&lt;10^-10,"SoCA",D901-VLOOKUP($D901,Sheet1!$M$5:$T$192,8,TRUE))</f>
        <v>0.19229096486103003</v>
      </c>
      <c r="U901" s="109" t="str">
        <f>IF(VLOOKUP($D901,Sheet1!$M$5:$U$192,9,TRUE)=0,"",IF(ABS(D901-VLOOKUP($D901,Sheet1!$M$5:$U$192,9,TRUE))&lt;10^-10,"Alt.",D901-VLOOKUP($D901,Sheet1!$M$5:$U$192,9,TRUE)))</f>
        <v/>
      </c>
      <c r="V901" s="132">
        <f>$D901-Sheet1!$M$3*$R901</f>
        <v>0.13090096843893662</v>
      </c>
      <c r="Z901" s="6"/>
      <c r="AA901" s="61"/>
    </row>
    <row r="902" spans="1:27" ht="13.5">
      <c r="A902" t="s">
        <v>1472</v>
      </c>
      <c r="B902">
        <v>270459</v>
      </c>
      <c r="C902">
        <v>274432</v>
      </c>
      <c r="D902" s="13">
        <f t="shared" si="19"/>
        <v>25.246571412038527</v>
      </c>
      <c r="E902" s="61" t="s">
        <v>1931</v>
      </c>
      <c r="F902" s="65">
        <v>155.78259793539658</v>
      </c>
      <c r="G902" s="6">
        <v>1383</v>
      </c>
      <c r="H902" s="6">
        <v>1321</v>
      </c>
      <c r="I902" s="65">
        <v>-7.5545233801065654</v>
      </c>
      <c r="J902" s="6">
        <f>VLOOKUP($D902,Sheet1!$A$5:$C$192,3,TRUE)</f>
        <v>5</v>
      </c>
      <c r="K902" s="42" t="str">
        <f>VLOOKUP($D902,Sheet1!$A$5:$C$192,2,TRUE)</f>
        <v>|)</v>
      </c>
      <c r="L902" s="6">
        <f>FLOOR(VLOOKUP($D902,Sheet1!$D$5:$F$192,3,TRUE),1)</f>
        <v>10</v>
      </c>
      <c r="M902" s="42" t="str">
        <f>VLOOKUP($D902,Sheet1!$D$5:$F$192,2,TRUE)</f>
        <v>)/|</v>
      </c>
      <c r="N902" s="23">
        <f>FLOOR(VLOOKUP($D902,Sheet1!$G$5:$I$192,3,TRUE),1)</f>
        <v>13</v>
      </c>
      <c r="O902" s="42" t="str">
        <f>VLOOKUP($D902,Sheet1!$G$5:$I$192,2,TRUE)</f>
        <v>.|)</v>
      </c>
      <c r="P902" s="23">
        <v>1</v>
      </c>
      <c r="Q902" s="43" t="str">
        <f>VLOOKUP($D902,Sheet1!$J$5:$L$192,2,TRUE)</f>
        <v>.|)</v>
      </c>
      <c r="R902" s="23">
        <f>FLOOR(VLOOKUP($D902,Sheet1!$M$5:$O$192,3,TRUE),1)</f>
        <v>52</v>
      </c>
      <c r="S902" s="42" t="str">
        <f>VLOOKUP($D902,Sheet1!$M$5:$O$192,2,TRUE)</f>
        <v>)/|'</v>
      </c>
      <c r="T902" s="117">
        <f>IF(ABS(D902-VLOOKUP($D902,Sheet1!$M$5:$T$192,8,TRUE))&lt;10^-10,"SoCA",D902-VLOOKUP($D902,Sheet1!$M$5:$T$192,8,TRUE))</f>
        <v>-6.0453079096070894E-2</v>
      </c>
      <c r="U902" s="109">
        <f>IF(VLOOKUP($D902,Sheet1!$M$5:$U$192,9,TRUE)=0,"",IF(ABS(D902-VLOOKUP($D902,Sheet1!$M$5:$U$192,9,TRUE))&lt;10^-10,"Alt.",D902-VLOOKUP($D902,Sheet1!$M$5:$U$192,9,TRUE)))</f>
        <v>-3.3492783893635192E-2</v>
      </c>
      <c r="V902" s="132">
        <f>$D902-Sheet1!$M$3*$R902</f>
        <v>-0.12518959654954287</v>
      </c>
      <c r="Z902" s="6"/>
      <c r="AA902" s="61"/>
    </row>
    <row r="903" spans="1:27" ht="13.5">
      <c r="A903" s="18" t="s">
        <v>408</v>
      </c>
      <c r="B903" s="18">
        <f>2^30</f>
        <v>1073741824</v>
      </c>
      <c r="C903" s="18">
        <f>3^3*7^9</f>
        <v>1089547389</v>
      </c>
      <c r="D903" s="13">
        <f t="shared" si="19"/>
        <v>25.298160818286615</v>
      </c>
      <c r="E903" s="61">
        <v>7</v>
      </c>
      <c r="F903" s="65">
        <v>176.52357561934861</v>
      </c>
      <c r="G903" s="6">
        <v>268</v>
      </c>
      <c r="H903" s="6">
        <v>245</v>
      </c>
      <c r="I903" s="65">
        <v>1.4423000722003003</v>
      </c>
      <c r="J903" s="6">
        <f>VLOOKUP($D903,Sheet1!$A$5:$C$192,3,TRUE)</f>
        <v>5</v>
      </c>
      <c r="K903" s="42" t="str">
        <f>VLOOKUP($D903,Sheet1!$A$5:$C$192,2,TRUE)</f>
        <v>|)</v>
      </c>
      <c r="L903" s="6">
        <f>FLOOR(VLOOKUP($D903,Sheet1!$D$5:$F$192,3,TRUE),1)</f>
        <v>10</v>
      </c>
      <c r="M903" s="42" t="str">
        <f>VLOOKUP($D903,Sheet1!$D$5:$F$192,2,TRUE)</f>
        <v>)/|</v>
      </c>
      <c r="N903" s="23">
        <f>FLOOR(VLOOKUP($D903,Sheet1!$G$5:$I$192,3,TRUE),1)</f>
        <v>13</v>
      </c>
      <c r="O903" s="42" t="str">
        <f>VLOOKUP($D903,Sheet1!$G$5:$I$192,2,TRUE)</f>
        <v>.|)</v>
      </c>
      <c r="P903" s="23">
        <v>1</v>
      </c>
      <c r="Q903" s="43" t="str">
        <f>VLOOKUP($D903,Sheet1!$J$5:$L$192,2,TRUE)</f>
        <v>.|)</v>
      </c>
      <c r="R903" s="23">
        <f>FLOOR(VLOOKUP($D903,Sheet1!$M$5:$O$192,3,TRUE),1)</f>
        <v>52</v>
      </c>
      <c r="S903" s="42" t="str">
        <f>VLOOKUP($D903,Sheet1!$M$5:$O$192,2,TRUE)</f>
        <v>.|)</v>
      </c>
      <c r="T903" s="117">
        <f>IF(ABS(D903-VLOOKUP($D903,Sheet1!$M$5:$T$192,8,TRUE))&lt;10^-10,"SoCA",D903-VLOOKUP($D903,Sheet1!$M$5:$T$192,8,TRUE))</f>
        <v>-1.2210193879361952E-2</v>
      </c>
      <c r="U903" s="109" t="str">
        <f>IF(VLOOKUP($D903,Sheet1!$M$5:$U$192,9,TRUE)=0,"",IF(ABS(D903-VLOOKUP($D903,Sheet1!$M$5:$U$192,9,TRUE))&lt;10^-10,"Alt.",D903-VLOOKUP($D903,Sheet1!$M$5:$U$192,9,TRUE)))</f>
        <v/>
      </c>
      <c r="V903" s="132">
        <f>$D903-Sheet1!$M$3*$R903</f>
        <v>-7.360019030145537E-2</v>
      </c>
      <c r="Z903" s="6"/>
      <c r="AA903" s="61"/>
    </row>
    <row r="904" spans="1:27" ht="13.5">
      <c r="A904" s="6" t="s">
        <v>1849</v>
      </c>
      <c r="B904">
        <v>1436859</v>
      </c>
      <c r="C904">
        <v>1458176</v>
      </c>
      <c r="D904" s="13">
        <f t="shared" si="19"/>
        <v>25.495638715169914</v>
      </c>
      <c r="E904" s="61" t="s">
        <v>1931</v>
      </c>
      <c r="F904" s="65">
        <v>190.62387239074209</v>
      </c>
      <c r="G904" s="59">
        <v>1678</v>
      </c>
      <c r="H904" s="63">
        <v>1000054</v>
      </c>
      <c r="I904" s="65">
        <v>-10.569859361361953</v>
      </c>
      <c r="J904" s="6">
        <f>VLOOKUP($D904,Sheet1!$A$5:$C$192,3,TRUE)</f>
        <v>5</v>
      </c>
      <c r="K904" s="42" t="str">
        <f>VLOOKUP($D904,Sheet1!$A$5:$C$192,2,TRUE)</f>
        <v>|)</v>
      </c>
      <c r="L904" s="6">
        <f>FLOOR(VLOOKUP($D904,Sheet1!$D$5:$F$192,3,TRUE),1)</f>
        <v>10</v>
      </c>
      <c r="M904" s="42" t="str">
        <f>VLOOKUP($D904,Sheet1!$D$5:$F$192,2,TRUE)</f>
        <v>)/|</v>
      </c>
      <c r="N904" s="23">
        <f>FLOOR(VLOOKUP($D904,Sheet1!$G$5:$I$192,3,TRUE),1)</f>
        <v>13</v>
      </c>
      <c r="O904" s="42" t="str">
        <f>VLOOKUP($D904,Sheet1!$G$5:$I$192,2,TRUE)</f>
        <v>.|)</v>
      </c>
      <c r="P904" s="23">
        <v>1</v>
      </c>
      <c r="Q904" s="43" t="str">
        <f>VLOOKUP($D904,Sheet1!$J$5:$L$192,2,TRUE)</f>
        <v>.|)</v>
      </c>
      <c r="R904" s="23">
        <f>FLOOR(VLOOKUP($D904,Sheet1!$M$5:$O$192,3,TRUE),1)</f>
        <v>52</v>
      </c>
      <c r="S904" s="42" t="str">
        <f>VLOOKUP($D904,Sheet1!$M$5:$O$192,2,TRUE)</f>
        <v>.|)</v>
      </c>
      <c r="T904" s="117">
        <f>IF(ABS(D904-VLOOKUP($D904,Sheet1!$M$5:$T$192,8,TRUE))&lt;10^-10,"SoCA",D904-VLOOKUP($D904,Sheet1!$M$5:$T$192,8,TRUE))</f>
        <v>0.18526770300393736</v>
      </c>
      <c r="U904" s="109" t="str">
        <f>IF(VLOOKUP($D904,Sheet1!$M$5:$U$192,9,TRUE)=0,"",IF(ABS(D904-VLOOKUP($D904,Sheet1!$M$5:$U$192,9,TRUE))&lt;10^-10,"Alt.",D904-VLOOKUP($D904,Sheet1!$M$5:$U$192,9,TRUE)))</f>
        <v/>
      </c>
      <c r="V904" s="132">
        <f>$D904-Sheet1!$M$3*$R904</f>
        <v>0.12387770658184394</v>
      </c>
      <c r="Z904" s="6"/>
      <c r="AA904" s="61"/>
    </row>
    <row r="905" spans="1:27" ht="13.5">
      <c r="A905" t="s">
        <v>552</v>
      </c>
      <c r="B905">
        <v>282475249</v>
      </c>
      <c r="C905">
        <v>286654464</v>
      </c>
      <c r="D905" s="13">
        <f t="shared" si="19"/>
        <v>25.425941366462467</v>
      </c>
      <c r="E905" s="61">
        <v>7</v>
      </c>
      <c r="F905" s="65">
        <v>212.02286107406903</v>
      </c>
      <c r="G905" s="6">
        <v>414</v>
      </c>
      <c r="H905" s="6">
        <v>396</v>
      </c>
      <c r="I905" s="65">
        <v>5.4344321583192308</v>
      </c>
      <c r="J905" s="6">
        <f>VLOOKUP($D905,Sheet1!$A$5:$C$192,3,TRUE)</f>
        <v>5</v>
      </c>
      <c r="K905" s="42" t="str">
        <f>VLOOKUP($D905,Sheet1!$A$5:$C$192,2,TRUE)</f>
        <v>|)</v>
      </c>
      <c r="L905" s="6">
        <f>FLOOR(VLOOKUP($D905,Sheet1!$D$5:$F$192,3,TRUE),1)</f>
        <v>10</v>
      </c>
      <c r="M905" s="42" t="str">
        <f>VLOOKUP($D905,Sheet1!$D$5:$F$192,2,TRUE)</f>
        <v>)/|</v>
      </c>
      <c r="N905" s="23">
        <f>FLOOR(VLOOKUP($D905,Sheet1!$G$5:$I$192,3,TRUE),1)</f>
        <v>13</v>
      </c>
      <c r="O905" s="42" t="str">
        <f>VLOOKUP($D905,Sheet1!$G$5:$I$192,2,TRUE)</f>
        <v>.|)</v>
      </c>
      <c r="P905" s="23">
        <v>1</v>
      </c>
      <c r="Q905" s="43" t="str">
        <f>VLOOKUP($D905,Sheet1!$J$5:$L$192,2,TRUE)</f>
        <v>.|)</v>
      </c>
      <c r="R905" s="23">
        <f>FLOOR(VLOOKUP($D905,Sheet1!$M$5:$O$192,3,TRUE),1)</f>
        <v>52</v>
      </c>
      <c r="S905" s="42" t="str">
        <f>VLOOKUP($D905,Sheet1!$M$5:$O$192,2,TRUE)</f>
        <v>.|)</v>
      </c>
      <c r="T905" s="117">
        <f>IF(ABS(D905-VLOOKUP($D905,Sheet1!$M$5:$T$192,8,TRUE))&lt;10^-10,"SoCA",D905-VLOOKUP($D905,Sheet1!$M$5:$T$192,8,TRUE))</f>
        <v>0.11557035429649076</v>
      </c>
      <c r="U905" s="109" t="str">
        <f>IF(VLOOKUP($D905,Sheet1!$M$5:$U$192,9,TRUE)=0,"",IF(ABS(D905-VLOOKUP($D905,Sheet1!$M$5:$U$192,9,TRUE))&lt;10^-10,"Alt.",D905-VLOOKUP($D905,Sheet1!$M$5:$U$192,9,TRUE)))</f>
        <v/>
      </c>
      <c r="V905" s="132">
        <f>$D905-Sheet1!$M$3*$R905</f>
        <v>5.4180357874397345E-2</v>
      </c>
      <c r="Z905" s="6"/>
      <c r="AA905" s="61"/>
    </row>
    <row r="906" spans="1:27" ht="13.5">
      <c r="A906" t="s">
        <v>1766</v>
      </c>
      <c r="B906">
        <v>1375731712</v>
      </c>
      <c r="C906">
        <v>1396095507</v>
      </c>
      <c r="D906" s="13">
        <f t="shared" si="19"/>
        <v>25.438187003306933</v>
      </c>
      <c r="E906" s="61" t="s">
        <v>1931</v>
      </c>
      <c r="F906" s="65">
        <v>254.73145226661285</v>
      </c>
      <c r="G906" s="6">
        <v>1673</v>
      </c>
      <c r="H906" s="6">
        <v>1615</v>
      </c>
      <c r="I906" s="65">
        <v>10.433678149845433</v>
      </c>
      <c r="J906" s="6">
        <f>VLOOKUP($D906,Sheet1!$A$5:$C$192,3,TRUE)</f>
        <v>5</v>
      </c>
      <c r="K906" s="42" t="str">
        <f>VLOOKUP($D906,Sheet1!$A$5:$C$192,2,TRUE)</f>
        <v>|)</v>
      </c>
      <c r="L906" s="6">
        <f>FLOOR(VLOOKUP($D906,Sheet1!$D$5:$F$192,3,TRUE),1)</f>
        <v>10</v>
      </c>
      <c r="M906" s="42" t="str">
        <f>VLOOKUP($D906,Sheet1!$D$5:$F$192,2,TRUE)</f>
        <v>)/|</v>
      </c>
      <c r="N906" s="23">
        <f>FLOOR(VLOOKUP($D906,Sheet1!$G$5:$I$192,3,TRUE),1)</f>
        <v>13</v>
      </c>
      <c r="O906" s="42" t="str">
        <f>VLOOKUP($D906,Sheet1!$G$5:$I$192,2,TRUE)</f>
        <v>.|)</v>
      </c>
      <c r="P906" s="23">
        <v>1</v>
      </c>
      <c r="Q906" s="43" t="str">
        <f>VLOOKUP($D906,Sheet1!$J$5:$L$192,2,TRUE)</f>
        <v>.|)</v>
      </c>
      <c r="R906" s="23">
        <f>FLOOR(VLOOKUP($D906,Sheet1!$M$5:$O$192,3,TRUE),1)</f>
        <v>52</v>
      </c>
      <c r="S906" s="42" t="str">
        <f>VLOOKUP($D906,Sheet1!$M$5:$O$192,2,TRUE)</f>
        <v>.|)</v>
      </c>
      <c r="T906" s="117">
        <f>IF(ABS(D906-VLOOKUP($D906,Sheet1!$M$5:$T$192,8,TRUE))&lt;10^-10,"SoCA",D906-VLOOKUP($D906,Sheet1!$M$5:$T$192,8,TRUE))</f>
        <v>0.12781599114095599</v>
      </c>
      <c r="U906" s="109" t="str">
        <f>IF(VLOOKUP($D906,Sheet1!$M$5:$U$192,9,TRUE)=0,"",IF(ABS(D906-VLOOKUP($D906,Sheet1!$M$5:$U$192,9,TRUE))&lt;10^-10,"Alt.",D906-VLOOKUP($D906,Sheet1!$M$5:$U$192,9,TRUE)))</f>
        <v/>
      </c>
      <c r="V906" s="132">
        <f>$D906-Sheet1!$M$3*$R906</f>
        <v>6.6425994718862569E-2</v>
      </c>
      <c r="Z906" s="6"/>
      <c r="AA906" s="61"/>
    </row>
    <row r="907" spans="1:27" ht="13.5">
      <c r="A907" t="s">
        <v>1765</v>
      </c>
      <c r="B907">
        <v>327286784</v>
      </c>
      <c r="C907">
        <v>332150625</v>
      </c>
      <c r="D907" s="13">
        <f t="shared" si="19"/>
        <v>25.538738730133417</v>
      </c>
      <c r="E907" s="61" t="s">
        <v>1931</v>
      </c>
      <c r="F907" s="65">
        <v>445.26431775588316</v>
      </c>
      <c r="G907" s="6">
        <v>1672</v>
      </c>
      <c r="H907" s="6">
        <v>1614</v>
      </c>
      <c r="I907" s="65">
        <v>10.427486813694841</v>
      </c>
      <c r="J907" s="6">
        <f>VLOOKUP($D907,Sheet1!$A$5:$C$192,3,TRUE)</f>
        <v>5</v>
      </c>
      <c r="K907" s="42" t="str">
        <f>VLOOKUP($D907,Sheet1!$A$5:$C$192,2,TRUE)</f>
        <v>|)</v>
      </c>
      <c r="L907" s="6">
        <f>FLOOR(VLOOKUP($D907,Sheet1!$D$5:$F$192,3,TRUE),1)</f>
        <v>10</v>
      </c>
      <c r="M907" s="42" t="str">
        <f>VLOOKUP($D907,Sheet1!$D$5:$F$192,2,TRUE)</f>
        <v>)/|</v>
      </c>
      <c r="N907" s="23">
        <f>FLOOR(VLOOKUP($D907,Sheet1!$G$5:$I$192,3,TRUE),1)</f>
        <v>13</v>
      </c>
      <c r="O907" s="42" t="str">
        <f>VLOOKUP($D907,Sheet1!$G$5:$I$192,2,TRUE)</f>
        <v>.|)</v>
      </c>
      <c r="P907" s="23">
        <v>1</v>
      </c>
      <c r="Q907" s="43" t="str">
        <f>VLOOKUP($D907,Sheet1!$J$5:$L$192,2,TRUE)</f>
        <v>.|)</v>
      </c>
      <c r="R907" s="23">
        <f>FLOOR(VLOOKUP($D907,Sheet1!$M$5:$O$192,3,TRUE),1)</f>
        <v>52</v>
      </c>
      <c r="S907" s="42" t="str">
        <f>VLOOKUP($D907,Sheet1!$M$5:$O$192,2,TRUE)</f>
        <v>.|)</v>
      </c>
      <c r="T907" s="117">
        <f>IF(ABS(D907-VLOOKUP($D907,Sheet1!$M$5:$T$192,8,TRUE))&lt;10^-10,"SoCA",D907-VLOOKUP($D907,Sheet1!$M$5:$T$192,8,TRUE))</f>
        <v>0.2283677179674406</v>
      </c>
      <c r="U907" s="109" t="str">
        <f>IF(VLOOKUP($D907,Sheet1!$M$5:$U$192,9,TRUE)=0,"",IF(ABS(D907-VLOOKUP($D907,Sheet1!$M$5:$U$192,9,TRUE))&lt;10^-10,"Alt.",D907-VLOOKUP($D907,Sheet1!$M$5:$U$192,9,TRUE)))</f>
        <v/>
      </c>
      <c r="V907" s="132">
        <f>$D907-Sheet1!$M$3*$R907</f>
        <v>0.16697772154534718</v>
      </c>
      <c r="Z907" s="6"/>
      <c r="AA907" s="61"/>
    </row>
    <row r="908" spans="1:27" ht="13.5">
      <c r="A908" t="s">
        <v>1673</v>
      </c>
      <c r="B908">
        <v>1094095732736</v>
      </c>
      <c r="C908">
        <v>1110289902993</v>
      </c>
      <c r="D908" s="13">
        <f t="shared" si="19"/>
        <v>25.436931597846129</v>
      </c>
      <c r="E908" s="61" t="s">
        <v>1931</v>
      </c>
      <c r="F908" s="65">
        <v>7311149.5971623203</v>
      </c>
      <c r="G908" s="6">
        <v>1578</v>
      </c>
      <c r="H908" s="6">
        <v>1522</v>
      </c>
      <c r="I908" s="65">
        <v>9.4337554497333453</v>
      </c>
      <c r="J908" s="6">
        <f>VLOOKUP($D908,Sheet1!$A$5:$C$192,3,TRUE)</f>
        <v>5</v>
      </c>
      <c r="K908" s="42" t="str">
        <f>VLOOKUP($D908,Sheet1!$A$5:$C$192,2,TRUE)</f>
        <v>|)</v>
      </c>
      <c r="L908" s="6">
        <f>FLOOR(VLOOKUP($D908,Sheet1!$D$5:$F$192,3,TRUE),1)</f>
        <v>10</v>
      </c>
      <c r="M908" s="42" t="str">
        <f>VLOOKUP($D908,Sheet1!$D$5:$F$192,2,TRUE)</f>
        <v>)/|</v>
      </c>
      <c r="N908" s="23">
        <f>FLOOR(VLOOKUP($D908,Sheet1!$G$5:$I$192,3,TRUE),1)</f>
        <v>13</v>
      </c>
      <c r="O908" s="42" t="str">
        <f>VLOOKUP($D908,Sheet1!$G$5:$I$192,2,TRUE)</f>
        <v>.|)</v>
      </c>
      <c r="P908" s="23">
        <v>1</v>
      </c>
      <c r="Q908" s="43" t="str">
        <f>VLOOKUP($D908,Sheet1!$J$5:$L$192,2,TRUE)</f>
        <v>.|)</v>
      </c>
      <c r="R908" s="23">
        <f>FLOOR(VLOOKUP($D908,Sheet1!$M$5:$O$192,3,TRUE),1)</f>
        <v>52</v>
      </c>
      <c r="S908" s="42" t="str">
        <f>VLOOKUP($D908,Sheet1!$M$5:$O$192,2,TRUE)</f>
        <v>.|)</v>
      </c>
      <c r="T908" s="117">
        <f>IF(ABS(D908-VLOOKUP($D908,Sheet1!$M$5:$T$192,8,TRUE))&lt;10^-10,"SoCA",D908-VLOOKUP($D908,Sheet1!$M$5:$T$192,8,TRUE))</f>
        <v>0.12656058568015283</v>
      </c>
      <c r="U908" s="109" t="str">
        <f>IF(VLOOKUP($D908,Sheet1!$M$5:$U$192,9,TRUE)=0,"",IF(ABS(D908-VLOOKUP($D908,Sheet1!$M$5:$U$192,9,TRUE))&lt;10^-10,"Alt.",D908-VLOOKUP($D908,Sheet1!$M$5:$U$192,9,TRUE)))</f>
        <v/>
      </c>
      <c r="V908" s="132">
        <f>$D908-Sheet1!$M$3*$R908</f>
        <v>6.5170589258059408E-2</v>
      </c>
      <c r="Z908" s="6"/>
      <c r="AA908" s="61"/>
    </row>
    <row r="909" spans="1:27" ht="13.5">
      <c r="A909" s="87" t="s">
        <v>109</v>
      </c>
      <c r="B909" s="87">
        <f>2^11</f>
        <v>2048</v>
      </c>
      <c r="C909" s="87">
        <f>3^3*7*11</f>
        <v>2079</v>
      </c>
      <c r="D909" s="13">
        <f t="shared" si="19"/>
        <v>26.00885143004389</v>
      </c>
      <c r="E909" s="61">
        <v>11</v>
      </c>
      <c r="F909" s="65">
        <v>25.288011724686523</v>
      </c>
      <c r="G909" s="6">
        <v>34</v>
      </c>
      <c r="H909" s="6">
        <v>32</v>
      </c>
      <c r="I909" s="65">
        <v>1.3985402620475393</v>
      </c>
      <c r="J909" s="6">
        <f>VLOOKUP($D909,Sheet1!$A$5:$C$192,3,TRUE)</f>
        <v>5</v>
      </c>
      <c r="K909" s="42" t="str">
        <f>VLOOKUP($D909,Sheet1!$A$5:$C$192,2,TRUE)</f>
        <v>|)</v>
      </c>
      <c r="L909" s="6">
        <f>FLOOR(VLOOKUP($D909,Sheet1!$D$5:$F$192,3,TRUE),1)</f>
        <v>10</v>
      </c>
      <c r="M909" s="42" t="str">
        <f>VLOOKUP($D909,Sheet1!$D$5:$F$192,2,TRUE)</f>
        <v>)/|</v>
      </c>
      <c r="N909" s="23">
        <f>FLOOR(VLOOKUP($D909,Sheet1!$G$5:$I$192,3,TRUE),1)</f>
        <v>13</v>
      </c>
      <c r="O909" s="43" t="str">
        <f>VLOOKUP($D909,Sheet1!$G$5:$I$192,2,TRUE)</f>
        <v>.|)</v>
      </c>
      <c r="P909" s="23">
        <v>1</v>
      </c>
      <c r="Q909" s="45" t="str">
        <f>VLOOKUP($D909,Sheet1!$J$5:$L$192,2,TRUE)</f>
        <v>.|)'</v>
      </c>
      <c r="R909" s="38">
        <f>FLOOR(VLOOKUP($D909,Sheet1!$M$5:$O$192,3,TRUE),1)</f>
        <v>53</v>
      </c>
      <c r="S909" s="45" t="str">
        <f>VLOOKUP($D909,Sheet1!$M$5:$O$192,2,TRUE)</f>
        <v>.|)'</v>
      </c>
      <c r="T909" s="128">
        <f>IF(ABS(D909-VLOOKUP($D909,Sheet1!$M$5:$T$192,8,TRUE))&lt;10^-10,"SoCA",D909-VLOOKUP($D909,Sheet1!$M$5:$T$192,8,TRUE))</f>
        <v>0.27576425192308918</v>
      </c>
      <c r="U909" s="128">
        <f>IF(VLOOKUP($D909,Sheet1!$M$5:$U$192,9,TRUE)=0,"",IF(ABS(D909-VLOOKUP($D909,Sheet1!$M$5:$U$192,9,TRUE))&lt;10^-10,"Alt.",D909-VLOOKUP($D909,Sheet1!$M$5:$U$192,9,TRUE)))</f>
        <v>0.30272454712552488</v>
      </c>
      <c r="V909" s="133">
        <f>$D909-Sheet1!$M$3*$R909</f>
        <v>0.14917194052143401</v>
      </c>
      <c r="Z909" s="6"/>
      <c r="AA909" s="61"/>
    </row>
    <row r="910" spans="1:27" ht="13.5">
      <c r="A910" s="23" t="s">
        <v>861</v>
      </c>
      <c r="B910" s="23">
        <f>7*19</f>
        <v>133</v>
      </c>
      <c r="C910" s="23">
        <f>3^3*5</f>
        <v>135</v>
      </c>
      <c r="D910" s="13">
        <f t="shared" si="19"/>
        <v>25.839793859569742</v>
      </c>
      <c r="E910" s="61">
        <v>19</v>
      </c>
      <c r="F910" s="65">
        <v>37.30290839577529</v>
      </c>
      <c r="G910" s="6">
        <v>764</v>
      </c>
      <c r="H910" s="6">
        <v>708</v>
      </c>
      <c r="I910" s="65">
        <v>1.4089497525718948</v>
      </c>
      <c r="J910" s="6">
        <f>VLOOKUP($D910,Sheet1!$A$5:$C$192,3,TRUE)</f>
        <v>5</v>
      </c>
      <c r="K910" s="42" t="str">
        <f>VLOOKUP($D910,Sheet1!$A$5:$C$192,2,TRUE)</f>
        <v>|)</v>
      </c>
      <c r="L910" s="6">
        <f>FLOOR(VLOOKUP($D910,Sheet1!$D$5:$F$192,3,TRUE),1)</f>
        <v>10</v>
      </c>
      <c r="M910" s="42" t="str">
        <f>VLOOKUP($D910,Sheet1!$D$5:$F$192,2,TRUE)</f>
        <v>)/|</v>
      </c>
      <c r="N910" s="23">
        <f>FLOOR(VLOOKUP($D910,Sheet1!$G$5:$I$192,3,TRUE),1)</f>
        <v>13</v>
      </c>
      <c r="O910" s="42" t="str">
        <f>VLOOKUP($D910,Sheet1!$G$5:$I$192,2,TRUE)</f>
        <v>.|)</v>
      </c>
      <c r="P910" s="23">
        <v>1</v>
      </c>
      <c r="Q910" s="43" t="str">
        <f>VLOOKUP($D910,Sheet1!$J$5:$L$192,2,TRUE)</f>
        <v>.|)'</v>
      </c>
      <c r="R910" s="23">
        <f>FLOOR(VLOOKUP($D910,Sheet1!$M$5:$O$192,3,TRUE),1)</f>
        <v>53</v>
      </c>
      <c r="S910" s="43" t="str">
        <f>VLOOKUP($D910,Sheet1!$M$5:$O$192,2,TRUE)</f>
        <v>.|)'</v>
      </c>
      <c r="T910" s="117">
        <f>IF(ABS(D910-VLOOKUP($D910,Sheet1!$M$5:$T$192,8,TRUE))&lt;10^-10,"SoCA",D910-VLOOKUP($D910,Sheet1!$M$5:$T$192,8,TRUE))</f>
        <v>0.1067066814489408</v>
      </c>
      <c r="U910" s="117">
        <f>IF(VLOOKUP($D910,Sheet1!$M$5:$U$192,9,TRUE)=0,"",IF(ABS(D910-VLOOKUP($D910,Sheet1!$M$5:$U$192,9,TRUE))&lt;10^-10,"Alt.",D910-VLOOKUP($D910,Sheet1!$M$5:$U$192,9,TRUE)))</f>
        <v>0.1336669766513765</v>
      </c>
      <c r="V910" s="132">
        <f>$D910-Sheet1!$M$3*$R910</f>
        <v>-1.9885629952714368E-2</v>
      </c>
      <c r="Z910" s="6"/>
      <c r="AA910" s="61"/>
    </row>
    <row r="911" spans="1:27" ht="13.5">
      <c r="A911" s="23" t="s">
        <v>1966</v>
      </c>
      <c r="B911" s="21">
        <f>2^8*7*11</f>
        <v>19712</v>
      </c>
      <c r="C911" s="102">
        <f>3^4*13*19</f>
        <v>20007</v>
      </c>
      <c r="D911" s="13">
        <f t="shared" si="19"/>
        <v>25.71683252928127</v>
      </c>
      <c r="E911" s="22">
        <v>19</v>
      </c>
      <c r="F911" s="65">
        <v>50.232889150576305</v>
      </c>
      <c r="G911" s="18">
        <v>2000000</v>
      </c>
      <c r="H911" s="18">
        <v>2000000</v>
      </c>
      <c r="I911" s="104">
        <v>5.8267198855703861E-2</v>
      </c>
      <c r="J911" s="6">
        <f>VLOOKUP($D911,Sheet1!$A$5:$C$192,3,TRUE)</f>
        <v>5</v>
      </c>
      <c r="K911" s="42" t="str">
        <f>VLOOKUP($D911,Sheet1!$A$5:$C$192,2,TRUE)</f>
        <v>|)</v>
      </c>
      <c r="L911" s="6">
        <f>FLOOR(VLOOKUP($D911,Sheet1!$D$5:$F$192,3,TRUE),1)</f>
        <v>10</v>
      </c>
      <c r="M911" s="42" t="str">
        <f>VLOOKUP($D911,Sheet1!$D$5:$F$192,2,TRUE)</f>
        <v>)/|</v>
      </c>
      <c r="N911" s="23">
        <f>FLOOR(VLOOKUP($D911,Sheet1!$G$5:$I$192,3,TRUE),1)</f>
        <v>13</v>
      </c>
      <c r="O911" s="42" t="str">
        <f>VLOOKUP($D911,Sheet1!$G$5:$I$192,2,TRUE)</f>
        <v>.|)</v>
      </c>
      <c r="P911" s="23">
        <v>1</v>
      </c>
      <c r="Q911" s="43" t="str">
        <f>VLOOKUP($D911,Sheet1!$J$5:$L$192,2,TRUE)</f>
        <v>.|)'</v>
      </c>
      <c r="R911" s="23">
        <f>FLOOR(VLOOKUP($D911,Sheet1!$M$5:$O$192,3,TRUE),1)</f>
        <v>53</v>
      </c>
      <c r="S911" s="43" t="str">
        <f>VLOOKUP($D911,Sheet1!$M$5:$O$192,2,TRUE)</f>
        <v>.|)'</v>
      </c>
      <c r="T911" s="117">
        <f>IF(ABS(D911-VLOOKUP($D911,Sheet1!$M$5:$T$192,8,TRUE))&lt;10^-10,"SoCA",D911-VLOOKUP($D911,Sheet1!$M$5:$T$192,8,TRUE))</f>
        <v>-1.6254648839531427E-2</v>
      </c>
      <c r="U911" s="117">
        <f>IF(VLOOKUP($D911,Sheet1!$M$5:$U$192,9,TRUE)=0,"",IF(ABS(D911-VLOOKUP($D911,Sheet1!$M$5:$U$192,9,TRUE))&lt;10^-10,"Alt.",D911-VLOOKUP($D911,Sheet1!$M$5:$U$192,9,TRUE)))</f>
        <v>1.0705646362904275E-2</v>
      </c>
      <c r="V911" s="132">
        <f>$D911-Sheet1!$M$3*$R911</f>
        <v>-0.14284696024118659</v>
      </c>
      <c r="Z911" s="6"/>
      <c r="AA911" s="61"/>
    </row>
    <row r="912" spans="1:27" ht="13.5">
      <c r="A912" t="s">
        <v>1458</v>
      </c>
      <c r="B912">
        <v>950272</v>
      </c>
      <c r="C912">
        <v>964467</v>
      </c>
      <c r="D912" s="13">
        <f t="shared" si="19"/>
        <v>25.669626573650007</v>
      </c>
      <c r="E912" s="61">
        <v>29</v>
      </c>
      <c r="F912" s="65">
        <v>58.783380480367299</v>
      </c>
      <c r="G912" s="6">
        <v>1371</v>
      </c>
      <c r="H912" s="6">
        <v>1307</v>
      </c>
      <c r="I912" s="65">
        <v>7.4194275723191492</v>
      </c>
      <c r="J912" s="6">
        <f>VLOOKUP($D912,Sheet1!$A$5:$C$192,3,TRUE)</f>
        <v>5</v>
      </c>
      <c r="K912" s="42" t="str">
        <f>VLOOKUP($D912,Sheet1!$A$5:$C$192,2,TRUE)</f>
        <v>|)</v>
      </c>
      <c r="L912" s="6">
        <f>FLOOR(VLOOKUP($D912,Sheet1!$D$5:$F$192,3,TRUE),1)</f>
        <v>10</v>
      </c>
      <c r="M912" s="42" t="str">
        <f>VLOOKUP($D912,Sheet1!$D$5:$F$192,2,TRUE)</f>
        <v>)/|</v>
      </c>
      <c r="N912" s="23">
        <f>FLOOR(VLOOKUP($D912,Sheet1!$G$5:$I$192,3,TRUE),1)</f>
        <v>13</v>
      </c>
      <c r="O912" s="42" t="str">
        <f>VLOOKUP($D912,Sheet1!$G$5:$I$192,2,TRUE)</f>
        <v>.|)</v>
      </c>
      <c r="P912" s="23">
        <v>1</v>
      </c>
      <c r="Q912" s="43" t="str">
        <f>VLOOKUP($D912,Sheet1!$J$5:$L$192,2,TRUE)</f>
        <v>.|)'</v>
      </c>
      <c r="R912" s="23">
        <f>FLOOR(VLOOKUP($D912,Sheet1!$M$5:$O$192,3,TRUE),1)</f>
        <v>53</v>
      </c>
      <c r="S912" s="42" t="str">
        <f>VLOOKUP($D912,Sheet1!$M$5:$O$192,2,TRUE)</f>
        <v>.|)'</v>
      </c>
      <c r="T912" s="117">
        <f>IF(ABS(D912-VLOOKUP($D912,Sheet1!$M$5:$T$192,8,TRUE))&lt;10^-10,"SoCA",D912-VLOOKUP($D912,Sheet1!$M$5:$T$192,8,TRUE))</f>
        <v>-6.3460604470794379E-2</v>
      </c>
      <c r="U912" s="109">
        <f>IF(VLOOKUP($D912,Sheet1!$M$5:$U$192,9,TRUE)=0,"",IF(ABS(D912-VLOOKUP($D912,Sheet1!$M$5:$U$192,9,TRUE))&lt;10^-10,"Alt.",D912-VLOOKUP($D912,Sheet1!$M$5:$U$192,9,TRUE)))</f>
        <v>-3.6500309268358677E-2</v>
      </c>
      <c r="V912" s="132">
        <f>$D912-Sheet1!$M$3*$R912</f>
        <v>-0.19005291587244955</v>
      </c>
      <c r="Z912" s="6"/>
      <c r="AA912" s="61"/>
    </row>
    <row r="913" spans="1:27" ht="13.5">
      <c r="A913" t="s">
        <v>1689</v>
      </c>
      <c r="B913">
        <v>3615111</v>
      </c>
      <c r="C913">
        <v>3670016</v>
      </c>
      <c r="D913" s="13">
        <f t="shared" si="19"/>
        <v>26.095689260636288</v>
      </c>
      <c r="E913" s="61">
        <v>29</v>
      </c>
      <c r="F913" s="65">
        <v>77.566324241808161</v>
      </c>
      <c r="G913" s="6">
        <v>1596</v>
      </c>
      <c r="H913" s="6">
        <v>1538</v>
      </c>
      <c r="I913" s="65">
        <v>-9.6068066595494752</v>
      </c>
      <c r="J913" s="6">
        <f>VLOOKUP($D913,Sheet1!$A$5:$C$192,3,TRUE)</f>
        <v>5</v>
      </c>
      <c r="K913" s="42" t="str">
        <f>VLOOKUP($D913,Sheet1!$A$5:$C$192,2,TRUE)</f>
        <v>|)</v>
      </c>
      <c r="L913" s="6">
        <f>FLOOR(VLOOKUP($D913,Sheet1!$D$5:$F$192,3,TRUE),1)</f>
        <v>10</v>
      </c>
      <c r="M913" s="42" t="str">
        <f>VLOOKUP($D913,Sheet1!$D$5:$F$192,2,TRUE)</f>
        <v>)/|</v>
      </c>
      <c r="N913" s="23">
        <f>FLOOR(VLOOKUP($D913,Sheet1!$G$5:$I$192,3,TRUE),1)</f>
        <v>13</v>
      </c>
      <c r="O913" s="42" t="str">
        <f>VLOOKUP($D913,Sheet1!$G$5:$I$192,2,TRUE)</f>
        <v>.|)</v>
      </c>
      <c r="P913" s="23">
        <v>1</v>
      </c>
      <c r="Q913" s="43" t="str">
        <f>VLOOKUP($D913,Sheet1!$J$5:$L$192,2,TRUE)</f>
        <v>.|)'</v>
      </c>
      <c r="R913" s="23">
        <f>FLOOR(VLOOKUP($D913,Sheet1!$M$5:$O$192,3,TRUE),1)</f>
        <v>53</v>
      </c>
      <c r="S913" s="42" t="str">
        <f>VLOOKUP($D913,Sheet1!$M$5:$O$192,2,TRUE)</f>
        <v>.|)'</v>
      </c>
      <c r="T913" s="117">
        <f>IF(ABS(D913-VLOOKUP($D913,Sheet1!$M$5:$T$192,8,TRUE))&lt;10^-10,"SoCA",D913-VLOOKUP($D913,Sheet1!$M$5:$T$192,8,TRUE))</f>
        <v>0.36260208251548676</v>
      </c>
      <c r="U913" s="109">
        <f>IF(VLOOKUP($D913,Sheet1!$M$5:$U$192,9,TRUE)=0,"",IF(ABS(D913-VLOOKUP($D913,Sheet1!$M$5:$U$192,9,TRUE))&lt;10^-10,"Alt.",D913-VLOOKUP($D913,Sheet1!$M$5:$U$192,9,TRUE)))</f>
        <v>0.38956237771792246</v>
      </c>
      <c r="V913" s="132">
        <f>$D913-Sheet1!$M$3*$R913</f>
        <v>0.23600977111383159</v>
      </c>
      <c r="Z913" s="6"/>
      <c r="AA913" s="61"/>
    </row>
    <row r="914" spans="1:27" ht="13.5">
      <c r="A914" s="6" t="s">
        <v>1851</v>
      </c>
      <c r="B914">
        <v>807003</v>
      </c>
      <c r="C914">
        <v>819200</v>
      </c>
      <c r="D914" s="13">
        <f t="shared" si="19"/>
        <v>25.970014399482533</v>
      </c>
      <c r="E914" s="61">
        <v>41</v>
      </c>
      <c r="F914" s="65">
        <v>83.824867190222704</v>
      </c>
      <c r="G914" s="59">
        <v>1680</v>
      </c>
      <c r="H914" s="63">
        <v>1000056</v>
      </c>
      <c r="I914" s="65">
        <v>-10.599068400489791</v>
      </c>
      <c r="J914" s="6">
        <f>VLOOKUP($D914,Sheet1!$A$5:$C$192,3,TRUE)</f>
        <v>5</v>
      </c>
      <c r="K914" s="42" t="str">
        <f>VLOOKUP($D914,Sheet1!$A$5:$C$192,2,TRUE)</f>
        <v>|)</v>
      </c>
      <c r="L914" s="6">
        <f>FLOOR(VLOOKUP($D914,Sheet1!$D$5:$F$192,3,TRUE),1)</f>
        <v>10</v>
      </c>
      <c r="M914" s="42" t="str">
        <f>VLOOKUP($D914,Sheet1!$D$5:$F$192,2,TRUE)</f>
        <v>)/|</v>
      </c>
      <c r="N914" s="23">
        <f>FLOOR(VLOOKUP($D914,Sheet1!$G$5:$I$192,3,TRUE),1)</f>
        <v>13</v>
      </c>
      <c r="O914" s="42" t="str">
        <f>VLOOKUP($D914,Sheet1!$G$5:$I$192,2,TRUE)</f>
        <v>.|)</v>
      </c>
      <c r="P914" s="23">
        <v>1</v>
      </c>
      <c r="Q914" s="43" t="str">
        <f>VLOOKUP($D914,Sheet1!$J$5:$L$192,2,TRUE)</f>
        <v>.|)'</v>
      </c>
      <c r="R914" s="23">
        <f>FLOOR(VLOOKUP($D914,Sheet1!$M$5:$O$192,3,TRUE),1)</f>
        <v>53</v>
      </c>
      <c r="S914" s="42" t="str">
        <f>VLOOKUP($D914,Sheet1!$M$5:$O$192,2,TRUE)</f>
        <v>.|)'</v>
      </c>
      <c r="T914" s="117">
        <f>IF(ABS(D914-VLOOKUP($D914,Sheet1!$M$5:$T$192,8,TRUE))&lt;10^-10,"SoCA",D914-VLOOKUP($D914,Sheet1!$M$5:$T$192,8,TRUE))</f>
        <v>0.23692722136173217</v>
      </c>
      <c r="U914" s="109">
        <f>IF(VLOOKUP($D914,Sheet1!$M$5:$U$192,9,TRUE)=0,"",IF(ABS(D914-VLOOKUP($D914,Sheet1!$M$5:$U$192,9,TRUE))&lt;10^-10,"Alt.",D914-VLOOKUP($D914,Sheet1!$M$5:$U$192,9,TRUE)))</f>
        <v>0.26388751656416787</v>
      </c>
      <c r="V914" s="132">
        <f>$D914-Sheet1!$M$3*$R914</f>
        <v>0.110334909960077</v>
      </c>
      <c r="Z914" s="6"/>
      <c r="AA914" s="61"/>
    </row>
    <row r="915" spans="1:27" ht="13.5">
      <c r="A915" t="s">
        <v>607</v>
      </c>
      <c r="B915">
        <v>67</v>
      </c>
      <c r="C915">
        <v>68</v>
      </c>
      <c r="D915" s="13">
        <f t="shared" si="19"/>
        <v>25.648380951080444</v>
      </c>
      <c r="E915" s="61" t="s">
        <v>1931</v>
      </c>
      <c r="F915" s="65">
        <v>84.049068550862444</v>
      </c>
      <c r="G915" s="6">
        <v>498</v>
      </c>
      <c r="H915" s="6">
        <v>452</v>
      </c>
      <c r="I915" s="65">
        <v>-1.5792642572972264</v>
      </c>
      <c r="J915" s="6">
        <f>VLOOKUP($D915,Sheet1!$A$5:$C$192,3,TRUE)</f>
        <v>5</v>
      </c>
      <c r="K915" s="42" t="str">
        <f>VLOOKUP($D915,Sheet1!$A$5:$C$192,2,TRUE)</f>
        <v>|)</v>
      </c>
      <c r="L915" s="6">
        <f>FLOOR(VLOOKUP($D915,Sheet1!$D$5:$F$192,3,TRUE),1)</f>
        <v>10</v>
      </c>
      <c r="M915" s="42" t="str">
        <f>VLOOKUP($D915,Sheet1!$D$5:$F$192,2,TRUE)</f>
        <v>)/|</v>
      </c>
      <c r="N915" s="23">
        <f>FLOOR(VLOOKUP($D915,Sheet1!$G$5:$I$192,3,TRUE),1)</f>
        <v>13</v>
      </c>
      <c r="O915" s="42" t="str">
        <f>VLOOKUP($D915,Sheet1!$G$5:$I$192,2,TRUE)</f>
        <v>.|)</v>
      </c>
      <c r="P915" s="23">
        <v>1</v>
      </c>
      <c r="Q915" s="43" t="str">
        <f>VLOOKUP($D915,Sheet1!$J$5:$L$192,2,TRUE)</f>
        <v>.|)'</v>
      </c>
      <c r="R915" s="23">
        <f>FLOOR(VLOOKUP($D915,Sheet1!$M$5:$O$192,3,TRUE),1)</f>
        <v>53</v>
      </c>
      <c r="S915" s="42" t="str">
        <f>VLOOKUP($D915,Sheet1!$M$5:$O$192,2,TRUE)</f>
        <v>.|)'</v>
      </c>
      <c r="T915" s="117">
        <f>IF(ABS(D915-VLOOKUP($D915,Sheet1!$M$5:$T$192,8,TRUE))&lt;10^-10,"SoCA",D915-VLOOKUP($D915,Sheet1!$M$5:$T$192,8,TRUE))</f>
        <v>-8.4706227040356907E-2</v>
      </c>
      <c r="U915" s="109">
        <f>IF(VLOOKUP($D915,Sheet1!$M$5:$U$192,9,TRUE)=0,"",IF(ABS(D915-VLOOKUP($D915,Sheet1!$M$5:$U$192,9,TRUE))&lt;10^-10,"Alt.",D915-VLOOKUP($D915,Sheet1!$M$5:$U$192,9,TRUE)))</f>
        <v>-5.7745931837921205E-2</v>
      </c>
      <c r="V915" s="132">
        <f>$D915-Sheet1!$M$3*$R915</f>
        <v>-0.21129853844201207</v>
      </c>
      <c r="Z915" s="6"/>
      <c r="AA915" s="61"/>
    </row>
    <row r="916" spans="1:27" ht="13.5">
      <c r="A916" t="s">
        <v>1379</v>
      </c>
      <c r="B916">
        <v>13365</v>
      </c>
      <c r="C916">
        <v>13568</v>
      </c>
      <c r="D916" s="13">
        <f t="shared" si="19"/>
        <v>26.097884919310246</v>
      </c>
      <c r="E916" s="61" t="s">
        <v>1931</v>
      </c>
      <c r="F916" s="65">
        <v>84.32443701334752</v>
      </c>
      <c r="G916" s="6">
        <v>1292</v>
      </c>
      <c r="H916" s="6">
        <v>1228</v>
      </c>
      <c r="I916" s="65">
        <v>-6.6069418542532512</v>
      </c>
      <c r="J916" s="6">
        <f>VLOOKUP($D916,Sheet1!$A$5:$C$192,3,TRUE)</f>
        <v>5</v>
      </c>
      <c r="K916" s="42" t="str">
        <f>VLOOKUP($D916,Sheet1!$A$5:$C$192,2,TRUE)</f>
        <v>|)</v>
      </c>
      <c r="L916" s="6">
        <f>FLOOR(VLOOKUP($D916,Sheet1!$D$5:$F$192,3,TRUE),1)</f>
        <v>10</v>
      </c>
      <c r="M916" s="42" t="str">
        <f>VLOOKUP($D916,Sheet1!$D$5:$F$192,2,TRUE)</f>
        <v>)/|</v>
      </c>
      <c r="N916" s="23">
        <f>FLOOR(VLOOKUP($D916,Sheet1!$G$5:$I$192,3,TRUE),1)</f>
        <v>13</v>
      </c>
      <c r="O916" s="42" t="str">
        <f>VLOOKUP($D916,Sheet1!$G$5:$I$192,2,TRUE)</f>
        <v>.|)</v>
      </c>
      <c r="P916" s="23">
        <v>1</v>
      </c>
      <c r="Q916" s="43" t="str">
        <f>VLOOKUP($D916,Sheet1!$J$5:$L$192,2,TRUE)</f>
        <v>.|)'</v>
      </c>
      <c r="R916" s="23">
        <f>FLOOR(VLOOKUP($D916,Sheet1!$M$5:$O$192,3,TRUE),1)</f>
        <v>53</v>
      </c>
      <c r="S916" s="42" t="str">
        <f>VLOOKUP($D916,Sheet1!$M$5:$O$192,2,TRUE)</f>
        <v>.|)'</v>
      </c>
      <c r="T916" s="117">
        <f>IF(ABS(D916-VLOOKUP($D916,Sheet1!$M$5:$T$192,8,TRUE))&lt;10^-10,"SoCA",D916-VLOOKUP($D916,Sheet1!$M$5:$T$192,8,TRUE))</f>
        <v>0.36479774118944519</v>
      </c>
      <c r="U916" s="109">
        <f>IF(VLOOKUP($D916,Sheet1!$M$5:$U$192,9,TRUE)=0,"",IF(ABS(D916-VLOOKUP($D916,Sheet1!$M$5:$U$192,9,TRUE))&lt;10^-10,"Alt.",D916-VLOOKUP($D916,Sheet1!$M$5:$U$192,9,TRUE)))</f>
        <v>0.39175803639188089</v>
      </c>
      <c r="V916" s="132">
        <f>$D916-Sheet1!$M$3*$R916</f>
        <v>0.23820542978779002</v>
      </c>
      <c r="Z916" s="6"/>
      <c r="AA916" s="61"/>
    </row>
    <row r="917" spans="1:27" ht="13.5">
      <c r="A917" s="6" t="s">
        <v>1850</v>
      </c>
      <c r="B917" s="6">
        <f>3^9*13*17*19</f>
        <v>82648917</v>
      </c>
      <c r="C917" s="6">
        <f>2^24*5</f>
        <v>83886080</v>
      </c>
      <c r="D917" s="13">
        <f t="shared" si="19"/>
        <v>25.722618674327482</v>
      </c>
      <c r="E917" s="61">
        <v>19</v>
      </c>
      <c r="F917" s="65">
        <v>98.357490144625956</v>
      </c>
      <c r="G917" s="59">
        <v>1679</v>
      </c>
      <c r="H917" s="63">
        <v>1000055</v>
      </c>
      <c r="I917" s="65">
        <v>-10.583835344380297</v>
      </c>
      <c r="J917" s="6">
        <f>VLOOKUP($D917,Sheet1!$A$5:$C$192,3,TRUE)</f>
        <v>5</v>
      </c>
      <c r="K917" s="42" t="str">
        <f>VLOOKUP($D917,Sheet1!$A$5:$C$192,2,TRUE)</f>
        <v>|)</v>
      </c>
      <c r="L917" s="6">
        <f>FLOOR(VLOOKUP($D917,Sheet1!$D$5:$F$192,3,TRUE),1)</f>
        <v>10</v>
      </c>
      <c r="M917" s="42" t="str">
        <f>VLOOKUP($D917,Sheet1!$D$5:$F$192,2,TRUE)</f>
        <v>)/|</v>
      </c>
      <c r="N917" s="23">
        <f>FLOOR(VLOOKUP($D917,Sheet1!$G$5:$I$192,3,TRUE),1)</f>
        <v>13</v>
      </c>
      <c r="O917" s="42" t="str">
        <f>VLOOKUP($D917,Sheet1!$G$5:$I$192,2,TRUE)</f>
        <v>.|)</v>
      </c>
      <c r="P917" s="23">
        <v>1</v>
      </c>
      <c r="Q917" s="43" t="str">
        <f>VLOOKUP($D917,Sheet1!$J$5:$L$192,2,TRUE)</f>
        <v>.|)'</v>
      </c>
      <c r="R917" s="23">
        <f>FLOOR(VLOOKUP($D917,Sheet1!$M$5:$O$192,3,TRUE),1)</f>
        <v>53</v>
      </c>
      <c r="S917" s="42" t="str">
        <f>VLOOKUP($D917,Sheet1!$M$5:$O$192,2,TRUE)</f>
        <v>.|)'</v>
      </c>
      <c r="T917" s="117">
        <f>IF(ABS(D917-VLOOKUP($D917,Sheet1!$M$5:$T$192,8,TRUE))&lt;10^-10,"SoCA",D917-VLOOKUP($D917,Sheet1!$M$5:$T$192,8,TRUE))</f>
        <v>-1.0468503793319428E-2</v>
      </c>
      <c r="U917" s="109">
        <f>IF(VLOOKUP($D917,Sheet1!$M$5:$U$192,9,TRUE)=0,"",IF(ABS(D917-VLOOKUP($D917,Sheet1!$M$5:$U$192,9,TRUE))&lt;10^-10,"Alt.",D917-VLOOKUP($D917,Sheet1!$M$5:$U$192,9,TRUE)))</f>
        <v>1.6491791409116274E-2</v>
      </c>
      <c r="V917" s="132">
        <f>$D917-Sheet1!$M$3*$R917</f>
        <v>-0.13706081519497459</v>
      </c>
      <c r="Z917" s="6"/>
      <c r="AA917" s="61"/>
    </row>
    <row r="918" spans="1:27" ht="13.5">
      <c r="A918" t="s">
        <v>1669</v>
      </c>
      <c r="B918">
        <v>31588352</v>
      </c>
      <c r="C918">
        <v>32063607</v>
      </c>
      <c r="D918" s="13">
        <f t="shared" si="19"/>
        <v>25.852870543153902</v>
      </c>
      <c r="E918" s="61" t="s">
        <v>1931</v>
      </c>
      <c r="F918" s="65">
        <v>467.57557437311192</v>
      </c>
      <c r="G918" s="6">
        <v>1573</v>
      </c>
      <c r="H918" s="6">
        <v>1518</v>
      </c>
      <c r="I918" s="65">
        <v>9.4081445735226659</v>
      </c>
      <c r="J918" s="6">
        <f>VLOOKUP($D918,Sheet1!$A$5:$C$192,3,TRUE)</f>
        <v>5</v>
      </c>
      <c r="K918" s="42" t="str">
        <f>VLOOKUP($D918,Sheet1!$A$5:$C$192,2,TRUE)</f>
        <v>|)</v>
      </c>
      <c r="L918" s="6">
        <f>FLOOR(VLOOKUP($D918,Sheet1!$D$5:$F$192,3,TRUE),1)</f>
        <v>10</v>
      </c>
      <c r="M918" s="42" t="str">
        <f>VLOOKUP($D918,Sheet1!$D$5:$F$192,2,TRUE)</f>
        <v>)/|</v>
      </c>
      <c r="N918" s="23">
        <f>FLOOR(VLOOKUP($D918,Sheet1!$G$5:$I$192,3,TRUE),1)</f>
        <v>13</v>
      </c>
      <c r="O918" s="42" t="str">
        <f>VLOOKUP($D918,Sheet1!$G$5:$I$192,2,TRUE)</f>
        <v>.|)</v>
      </c>
      <c r="P918" s="23">
        <v>1</v>
      </c>
      <c r="Q918" s="43" t="str">
        <f>VLOOKUP($D918,Sheet1!$J$5:$L$192,2,TRUE)</f>
        <v>.|)'</v>
      </c>
      <c r="R918" s="23">
        <f>FLOOR(VLOOKUP($D918,Sheet1!$M$5:$O$192,3,TRUE),1)</f>
        <v>53</v>
      </c>
      <c r="S918" s="42" t="str">
        <f>VLOOKUP($D918,Sheet1!$M$5:$O$192,2,TRUE)</f>
        <v>.|)'</v>
      </c>
      <c r="T918" s="117">
        <f>IF(ABS(D918-VLOOKUP($D918,Sheet1!$M$5:$T$192,8,TRUE))&lt;10^-10,"SoCA",D918-VLOOKUP($D918,Sheet1!$M$5:$T$192,8,TRUE))</f>
        <v>0.11978336503310061</v>
      </c>
      <c r="U918" s="109">
        <f>IF(VLOOKUP($D918,Sheet1!$M$5:$U$192,9,TRUE)=0,"",IF(ABS(D918-VLOOKUP($D918,Sheet1!$M$5:$U$192,9,TRUE))&lt;10^-10,"Alt.",D918-VLOOKUP($D918,Sheet1!$M$5:$U$192,9,TRUE)))</f>
        <v>0.14674366023553631</v>
      </c>
      <c r="V918" s="132">
        <f>$D918-Sheet1!$M$3*$R918</f>
        <v>-6.8089463685545581E-3</v>
      </c>
      <c r="Z918" s="6"/>
      <c r="AA918" s="61"/>
    </row>
    <row r="919" spans="1:27" ht="13.5">
      <c r="A919" s="38" t="s">
        <v>358</v>
      </c>
      <c r="B919" s="38">
        <f>5*13</f>
        <v>65</v>
      </c>
      <c r="C919" s="38">
        <f>2*3*11</f>
        <v>66</v>
      </c>
      <c r="D919" s="13">
        <f t="shared" si="19"/>
        <v>26.431567595998626</v>
      </c>
      <c r="E919" s="61">
        <v>13</v>
      </c>
      <c r="F919" s="65">
        <v>34.833623610544706</v>
      </c>
      <c r="G919" s="6">
        <v>207</v>
      </c>
      <c r="H919" s="6">
        <v>193</v>
      </c>
      <c r="I919" s="65">
        <v>-0.62748791232913259</v>
      </c>
      <c r="J919" s="6">
        <f>VLOOKUP($D919,Sheet1!$A$5:$C$192,3,TRUE)</f>
        <v>5</v>
      </c>
      <c r="K919" s="42" t="str">
        <f>VLOOKUP($D919,Sheet1!$A$5:$C$192,2,TRUE)</f>
        <v>|)</v>
      </c>
      <c r="L919" s="6">
        <f>FLOOR(VLOOKUP($D919,Sheet1!$D$5:$F$192,3,TRUE),1)</f>
        <v>11</v>
      </c>
      <c r="M919" s="42" t="str">
        <f>VLOOKUP($D919,Sheet1!$D$5:$F$192,2,TRUE)</f>
        <v>|)</v>
      </c>
      <c r="N919" s="23">
        <f>FLOOR(VLOOKUP($D919,Sheet1!$G$5:$I$192,3,TRUE),1)</f>
        <v>14</v>
      </c>
      <c r="O919" s="42" t="str">
        <f>VLOOKUP($D919,Sheet1!$G$5:$I$192,2,TRUE)</f>
        <v>|)</v>
      </c>
      <c r="P919" s="23">
        <v>1</v>
      </c>
      <c r="Q919" s="45" t="str">
        <f>VLOOKUP($D919,Sheet1!$J$5:$L$192,2,TRUE)</f>
        <v>|)..</v>
      </c>
      <c r="R919" s="38">
        <f>FLOOR(VLOOKUP($D919,Sheet1!$M$5:$O$192,3,TRUE),1)</f>
        <v>54</v>
      </c>
      <c r="S919" s="45" t="str">
        <f>VLOOKUP($D919,Sheet1!$M$5:$O$192,2,TRUE)</f>
        <v>|)..</v>
      </c>
      <c r="T919" s="112" t="str">
        <f>IF(ABS(D919-VLOOKUP($D919,Sheet1!$M$5:$T$192,8,TRUE))&lt;10^-10,"SoCA",D919-VLOOKUP($D919,Sheet1!$M$5:$T$192,8,TRUE))</f>
        <v>SoCA</v>
      </c>
      <c r="U919" s="108">
        <f>IF(VLOOKUP($D919,Sheet1!$M$5:$U$192,9,TRUE)=0,"",IF(ABS(D919-VLOOKUP($D919,Sheet1!$M$5:$U$192,9,TRUE))&lt;10^-10,"Alt.",D919-VLOOKUP($D919,Sheet1!$M$5:$U$192,9,TRUE)))</f>
        <v>-1.4052167394368098E-2</v>
      </c>
      <c r="V919" s="133">
        <f>$D919-Sheet1!$M$3*$R919</f>
        <v>8.3969625541783444E-2</v>
      </c>
      <c r="Z919" s="6"/>
      <c r="AA919" s="61"/>
    </row>
    <row r="920" spans="1:27" ht="13.5">
      <c r="A920" s="23" t="s">
        <v>860</v>
      </c>
      <c r="B920" s="23">
        <f>2^2*5*11^2</f>
        <v>2420</v>
      </c>
      <c r="C920" s="23">
        <f>3^3*7*13</f>
        <v>2457</v>
      </c>
      <c r="D920" s="13">
        <f t="shared" si="19"/>
        <v>26.268972240249514</v>
      </c>
      <c r="E920" s="61">
        <v>13</v>
      </c>
      <c r="F920" s="65">
        <v>56.51402503969944</v>
      </c>
      <c r="G920" s="6">
        <v>758</v>
      </c>
      <c r="H920" s="6">
        <v>707</v>
      </c>
      <c r="I920" s="65">
        <v>1.3825236760914723</v>
      </c>
      <c r="J920" s="6">
        <f>VLOOKUP($D920,Sheet1!$A$5:$C$192,3,TRUE)</f>
        <v>5</v>
      </c>
      <c r="K920" s="42" t="str">
        <f>VLOOKUP($D920,Sheet1!$A$5:$C$192,2,TRUE)</f>
        <v>|)</v>
      </c>
      <c r="L920" s="6">
        <f>FLOOR(VLOOKUP($D920,Sheet1!$D$5:$F$192,3,TRUE),1)</f>
        <v>11</v>
      </c>
      <c r="M920" s="42" t="str">
        <f>VLOOKUP($D920,Sheet1!$D$5:$F$192,2,TRUE)</f>
        <v>|)</v>
      </c>
      <c r="N920" s="23">
        <f>FLOOR(VLOOKUP($D920,Sheet1!$G$5:$I$192,3,TRUE),1)</f>
        <v>14</v>
      </c>
      <c r="O920" s="42" t="str">
        <f>VLOOKUP($D920,Sheet1!$G$5:$I$192,2,TRUE)</f>
        <v>|)</v>
      </c>
      <c r="P920" s="23">
        <v>1</v>
      </c>
      <c r="Q920" s="43" t="str">
        <f>VLOOKUP($D920,Sheet1!$J$5:$L$192,2,TRUE)</f>
        <v>|)..</v>
      </c>
      <c r="R920" s="23">
        <f>FLOOR(VLOOKUP($D920,Sheet1!$M$5:$O$192,3,TRUE),1)</f>
        <v>54</v>
      </c>
      <c r="S920" s="43" t="str">
        <f>VLOOKUP($D920,Sheet1!$M$5:$O$192,2,TRUE)</f>
        <v>|)..</v>
      </c>
      <c r="T920" s="117">
        <f>IF(ABS(D920-VLOOKUP($D920,Sheet1!$M$5:$T$192,8,TRUE))&lt;10^-10,"SoCA",D920-VLOOKUP($D920,Sheet1!$M$5:$T$192,8,TRUE))</f>
        <v>-0.16259535574902273</v>
      </c>
      <c r="U920" s="117">
        <f>IF(VLOOKUP($D920,Sheet1!$M$5:$U$192,9,TRUE)=0,"",IF(ABS(D920-VLOOKUP($D920,Sheet1!$M$5:$U$192,9,TRUE))&lt;10^-10,"Alt.",D920-VLOOKUP($D920,Sheet1!$M$5:$U$192,9,TRUE)))</f>
        <v>-0.17664752314347965</v>
      </c>
      <c r="V920" s="132">
        <f>$D920-Sheet1!$M$3*$R920</f>
        <v>-7.8625730207328104E-2</v>
      </c>
      <c r="Z920" s="6"/>
      <c r="AA920" s="61"/>
    </row>
    <row r="921" spans="1:27" ht="13.5">
      <c r="A921" s="6" t="s">
        <v>1480</v>
      </c>
      <c r="B921" s="6">
        <f>3^6*23</f>
        <v>16767</v>
      </c>
      <c r="C921" s="6">
        <f>2^7*7*19</f>
        <v>17024</v>
      </c>
      <c r="D921" s="13">
        <f t="shared" si="19"/>
        <v>26.334570140687603</v>
      </c>
      <c r="E921" s="61">
        <v>23</v>
      </c>
      <c r="F921" s="65">
        <v>61.633726444743345</v>
      </c>
      <c r="G921" s="6">
        <v>1390</v>
      </c>
      <c r="H921" s="6">
        <v>1329</v>
      </c>
      <c r="I921" s="65">
        <v>-7.6215154256246631</v>
      </c>
      <c r="J921" s="6">
        <f>VLOOKUP($D921,Sheet1!$A$5:$C$192,3,TRUE)</f>
        <v>5</v>
      </c>
      <c r="K921" s="42" t="str">
        <f>VLOOKUP($D921,Sheet1!$A$5:$C$192,2,TRUE)</f>
        <v>|)</v>
      </c>
      <c r="L921" s="6">
        <f>FLOOR(VLOOKUP($D921,Sheet1!$D$5:$F$192,3,TRUE),1)</f>
        <v>11</v>
      </c>
      <c r="M921" s="42" t="str">
        <f>VLOOKUP($D921,Sheet1!$D$5:$F$192,2,TRUE)</f>
        <v>|)</v>
      </c>
      <c r="N921" s="23">
        <f>FLOOR(VLOOKUP($D921,Sheet1!$G$5:$I$192,3,TRUE),1)</f>
        <v>14</v>
      </c>
      <c r="O921" s="42" t="str">
        <f>VLOOKUP($D921,Sheet1!$G$5:$I$192,2,TRUE)</f>
        <v>|)</v>
      </c>
      <c r="P921" s="23">
        <v>1</v>
      </c>
      <c r="Q921" s="43" t="str">
        <f>VLOOKUP($D921,Sheet1!$J$5:$L$192,2,TRUE)</f>
        <v>|)..</v>
      </c>
      <c r="R921" s="23">
        <f>FLOOR(VLOOKUP($D921,Sheet1!$M$5:$O$192,3,TRUE),1)</f>
        <v>54</v>
      </c>
      <c r="S921" s="42" t="str">
        <f>VLOOKUP($D921,Sheet1!$M$5:$O$192,2,TRUE)</f>
        <v>|)..</v>
      </c>
      <c r="T921" s="117">
        <f>IF(ABS(D921-VLOOKUP($D921,Sheet1!$M$5:$T$192,8,TRUE))&lt;10^-10,"SoCA",D921-VLOOKUP($D921,Sheet1!$M$5:$T$192,8,TRUE))</f>
        <v>-9.6997455310933844E-2</v>
      </c>
      <c r="U921" s="109">
        <f>IF(VLOOKUP($D921,Sheet1!$M$5:$U$192,9,TRUE)=0,"",IF(ABS(D921-VLOOKUP($D921,Sheet1!$M$5:$U$192,9,TRUE))&lt;10^-10,"Alt.",D921-VLOOKUP($D921,Sheet1!$M$5:$U$192,9,TRUE)))</f>
        <v>-0.11104962270539076</v>
      </c>
      <c r="V921" s="132">
        <f>$D921-Sheet1!$M$3*$R921</f>
        <v>-1.3027829769239219E-2</v>
      </c>
      <c r="Z921" s="6"/>
      <c r="AA921" s="61"/>
    </row>
    <row r="922" spans="1:27" ht="13.5">
      <c r="A922" s="6" t="s">
        <v>415</v>
      </c>
      <c r="B922" s="6">
        <f>2^7*43</f>
        <v>5504</v>
      </c>
      <c r="C922" s="6">
        <f>3^5*23</f>
        <v>5589</v>
      </c>
      <c r="D922" s="13">
        <f t="shared" si="19"/>
        <v>26.531645952835078</v>
      </c>
      <c r="E922" s="61">
        <v>43</v>
      </c>
      <c r="F922" s="65">
        <v>66.493148297700856</v>
      </c>
      <c r="G922" s="6">
        <v>274</v>
      </c>
      <c r="H922" s="6">
        <v>252</v>
      </c>
      <c r="I922" s="65">
        <v>3.3663498986351423</v>
      </c>
      <c r="J922" s="6">
        <f>VLOOKUP($D922,Sheet1!$A$5:$C$192,3,TRUE)</f>
        <v>5</v>
      </c>
      <c r="K922" s="42" t="str">
        <f>VLOOKUP($D922,Sheet1!$A$5:$C$192,2,TRUE)</f>
        <v>|)</v>
      </c>
      <c r="L922" s="6">
        <f>FLOOR(VLOOKUP($D922,Sheet1!$D$5:$F$192,3,TRUE),1)</f>
        <v>11</v>
      </c>
      <c r="M922" s="42" t="str">
        <f>VLOOKUP($D922,Sheet1!$D$5:$F$192,2,TRUE)</f>
        <v>|)</v>
      </c>
      <c r="N922" s="23">
        <f>FLOOR(VLOOKUP($D922,Sheet1!$G$5:$I$192,3,TRUE),1)</f>
        <v>14</v>
      </c>
      <c r="O922" s="42" t="str">
        <f>VLOOKUP($D922,Sheet1!$G$5:$I$192,2,TRUE)</f>
        <v>|)</v>
      </c>
      <c r="P922" s="23">
        <v>1</v>
      </c>
      <c r="Q922" s="43" t="str">
        <f>VLOOKUP($D922,Sheet1!$J$5:$L$192,2,TRUE)</f>
        <v>|)..</v>
      </c>
      <c r="R922" s="23">
        <f>FLOOR(VLOOKUP($D922,Sheet1!$M$5:$O$192,3,TRUE),1)</f>
        <v>54</v>
      </c>
      <c r="S922" s="42" t="str">
        <f>VLOOKUP($D922,Sheet1!$M$5:$O$192,2,TRUE)</f>
        <v>|)..</v>
      </c>
      <c r="T922" s="117">
        <f>IF(ABS(D922-VLOOKUP($D922,Sheet1!$M$5:$T$192,8,TRUE))&lt;10^-10,"SoCA",D922-VLOOKUP($D922,Sheet1!$M$5:$T$192,8,TRUE))</f>
        <v>0.10007835683654065</v>
      </c>
      <c r="U922" s="109">
        <f>IF(VLOOKUP($D922,Sheet1!$M$5:$U$192,9,TRUE)=0,"",IF(ABS(D922-VLOOKUP($D922,Sheet1!$M$5:$U$192,9,TRUE))&lt;10^-10,"Alt.",D922-VLOOKUP($D922,Sheet1!$M$5:$U$192,9,TRUE)))</f>
        <v>8.6026189442083734E-2</v>
      </c>
      <c r="V922" s="132">
        <f>$D922-Sheet1!$M$3*$R922</f>
        <v>0.18404798237823528</v>
      </c>
      <c r="Z922" s="6"/>
      <c r="AA922" s="61"/>
    </row>
    <row r="923" spans="1:27" ht="13.5">
      <c r="A923" t="s">
        <v>554</v>
      </c>
      <c r="B923">
        <v>328</v>
      </c>
      <c r="C923">
        <v>333</v>
      </c>
      <c r="D923" s="13">
        <f t="shared" si="19"/>
        <v>26.191634943813977</v>
      </c>
      <c r="E923" s="61">
        <v>41</v>
      </c>
      <c r="F923" s="65">
        <v>78.064245876387389</v>
      </c>
      <c r="G923" s="6">
        <v>443</v>
      </c>
      <c r="H923" s="6">
        <v>398</v>
      </c>
      <c r="I923" s="65">
        <v>0.38728561518811921</v>
      </c>
      <c r="J923" s="6">
        <f>VLOOKUP($D923,Sheet1!$A$5:$C$192,3,TRUE)</f>
        <v>5</v>
      </c>
      <c r="K923" s="42" t="str">
        <f>VLOOKUP($D923,Sheet1!$A$5:$C$192,2,TRUE)</f>
        <v>|)</v>
      </c>
      <c r="L923" s="6">
        <f>FLOOR(VLOOKUP($D923,Sheet1!$D$5:$F$192,3,TRUE),1)</f>
        <v>11</v>
      </c>
      <c r="M923" s="42" t="str">
        <f>VLOOKUP($D923,Sheet1!$D$5:$F$192,2,TRUE)</f>
        <v>|)</v>
      </c>
      <c r="N923" s="23">
        <f>FLOOR(VLOOKUP($D923,Sheet1!$G$5:$I$192,3,TRUE),1)</f>
        <v>14</v>
      </c>
      <c r="O923" s="42" t="str">
        <f>VLOOKUP($D923,Sheet1!$G$5:$I$192,2,TRUE)</f>
        <v>|)</v>
      </c>
      <c r="P923" s="23">
        <v>1</v>
      </c>
      <c r="Q923" s="43" t="str">
        <f>VLOOKUP($D923,Sheet1!$J$5:$L$192,2,TRUE)</f>
        <v>|)..</v>
      </c>
      <c r="R923" s="23">
        <f>FLOOR(VLOOKUP($D923,Sheet1!$M$5:$O$192,3,TRUE),1)</f>
        <v>54</v>
      </c>
      <c r="S923" s="42" t="str">
        <f>VLOOKUP($D923,Sheet1!$M$5:$O$192,2,TRUE)</f>
        <v>|)..</v>
      </c>
      <c r="T923" s="117">
        <f>IF(ABS(D923-VLOOKUP($D923,Sheet1!$M$5:$T$192,8,TRUE))&lt;10^-10,"SoCA",D923-VLOOKUP($D923,Sheet1!$M$5:$T$192,8,TRUE))</f>
        <v>-0.23993265218456017</v>
      </c>
      <c r="U923" s="109">
        <f>IF(VLOOKUP($D923,Sheet1!$M$5:$U$192,9,TRUE)=0,"",IF(ABS(D923-VLOOKUP($D923,Sheet1!$M$5:$U$192,9,TRUE))&lt;10^-10,"Alt.",D923-VLOOKUP($D923,Sheet1!$M$5:$U$192,9,TRUE)))</f>
        <v>-0.25398481957901708</v>
      </c>
      <c r="V923" s="132">
        <f>$D923-Sheet1!$M$3*$R923</f>
        <v>-0.15596302664286554</v>
      </c>
      <c r="Z923" s="6"/>
      <c r="AA923" s="61"/>
    </row>
    <row r="924" spans="1:27" ht="13.5">
      <c r="A924" t="s">
        <v>1668</v>
      </c>
      <c r="B924">
        <v>109051904</v>
      </c>
      <c r="C924">
        <v>110716875</v>
      </c>
      <c r="D924" s="13">
        <f t="shared" si="19"/>
        <v>26.232203209290216</v>
      </c>
      <c r="E924" s="61">
        <v>13</v>
      </c>
      <c r="F924" s="65">
        <v>79.47701057916008</v>
      </c>
      <c r="G924" s="6">
        <v>1570</v>
      </c>
      <c r="H924" s="6">
        <v>1517</v>
      </c>
      <c r="I924" s="65">
        <v>9.3847876792845089</v>
      </c>
      <c r="J924" s="6">
        <f>VLOOKUP($D924,Sheet1!$A$5:$C$192,3,TRUE)</f>
        <v>5</v>
      </c>
      <c r="K924" s="42" t="str">
        <f>VLOOKUP($D924,Sheet1!$A$5:$C$192,2,TRUE)</f>
        <v>|)</v>
      </c>
      <c r="L924" s="6">
        <f>FLOOR(VLOOKUP($D924,Sheet1!$D$5:$F$192,3,TRUE),1)</f>
        <v>11</v>
      </c>
      <c r="M924" s="42" t="str">
        <f>VLOOKUP($D924,Sheet1!$D$5:$F$192,2,TRUE)</f>
        <v>|)</v>
      </c>
      <c r="N924" s="23">
        <f>FLOOR(VLOOKUP($D924,Sheet1!$G$5:$I$192,3,TRUE),1)</f>
        <v>14</v>
      </c>
      <c r="O924" s="42" t="str">
        <f>VLOOKUP($D924,Sheet1!$G$5:$I$192,2,TRUE)</f>
        <v>|)</v>
      </c>
      <c r="P924" s="23">
        <v>1</v>
      </c>
      <c r="Q924" s="43" t="str">
        <f>VLOOKUP($D924,Sheet1!$J$5:$L$192,2,TRUE)</f>
        <v>|)..</v>
      </c>
      <c r="R924" s="23">
        <f>FLOOR(VLOOKUP($D924,Sheet1!$M$5:$O$192,3,TRUE),1)</f>
        <v>54</v>
      </c>
      <c r="S924" s="42" t="str">
        <f>VLOOKUP($D924,Sheet1!$M$5:$O$192,2,TRUE)</f>
        <v>|)..</v>
      </c>
      <c r="T924" s="117">
        <f>IF(ABS(D924-VLOOKUP($D924,Sheet1!$M$5:$T$192,8,TRUE))&lt;10^-10,"SoCA",D924-VLOOKUP($D924,Sheet1!$M$5:$T$192,8,TRUE))</f>
        <v>-0.19936438670832146</v>
      </c>
      <c r="U924" s="109">
        <f>IF(VLOOKUP($D924,Sheet1!$M$5:$U$192,9,TRUE)=0,"",IF(ABS(D924-VLOOKUP($D924,Sheet1!$M$5:$U$192,9,TRUE))&lt;10^-10,"Alt.",D924-VLOOKUP($D924,Sheet1!$M$5:$U$192,9,TRUE)))</f>
        <v>-0.21341655410277838</v>
      </c>
      <c r="V924" s="132">
        <f>$D924-Sheet1!$M$3*$R924</f>
        <v>-0.11539476116662684</v>
      </c>
      <c r="Z924" s="6"/>
      <c r="AA924" s="61"/>
    </row>
    <row r="925" spans="1:27" ht="13.5">
      <c r="A925" t="s">
        <v>1357</v>
      </c>
      <c r="B925">
        <v>458752</v>
      </c>
      <c r="C925">
        <v>465831</v>
      </c>
      <c r="D925" s="13">
        <f t="shared" si="19"/>
        <v>26.510643859592783</v>
      </c>
      <c r="E925" s="61" t="s">
        <v>1931</v>
      </c>
      <c r="F925" s="65">
        <v>82.098035015136489</v>
      </c>
      <c r="G925" s="6">
        <v>1270</v>
      </c>
      <c r="H925" s="6">
        <v>1206</v>
      </c>
      <c r="I925" s="65">
        <v>6.3676430740308625</v>
      </c>
      <c r="J925" s="6">
        <f>VLOOKUP($D925,Sheet1!$A$5:$C$192,3,TRUE)</f>
        <v>5</v>
      </c>
      <c r="K925" s="42" t="str">
        <f>VLOOKUP($D925,Sheet1!$A$5:$C$192,2,TRUE)</f>
        <v>|)</v>
      </c>
      <c r="L925" s="6">
        <f>FLOOR(VLOOKUP($D925,Sheet1!$D$5:$F$192,3,TRUE),1)</f>
        <v>11</v>
      </c>
      <c r="M925" s="42" t="str">
        <f>VLOOKUP($D925,Sheet1!$D$5:$F$192,2,TRUE)</f>
        <v>|)</v>
      </c>
      <c r="N925" s="23">
        <f>FLOOR(VLOOKUP($D925,Sheet1!$G$5:$I$192,3,TRUE),1)</f>
        <v>14</v>
      </c>
      <c r="O925" s="42" t="str">
        <f>VLOOKUP($D925,Sheet1!$G$5:$I$192,2,TRUE)</f>
        <v>|)</v>
      </c>
      <c r="P925" s="23">
        <v>1</v>
      </c>
      <c r="Q925" s="43" t="str">
        <f>VLOOKUP($D925,Sheet1!$J$5:$L$192,2,TRUE)</f>
        <v>|)..</v>
      </c>
      <c r="R925" s="23">
        <f>FLOOR(VLOOKUP($D925,Sheet1!$M$5:$O$192,3,TRUE),1)</f>
        <v>54</v>
      </c>
      <c r="S925" s="42" t="str">
        <f>VLOOKUP($D925,Sheet1!$M$5:$O$192,2,TRUE)</f>
        <v>|)..</v>
      </c>
      <c r="T925" s="117">
        <f>IF(ABS(D925-VLOOKUP($D925,Sheet1!$M$5:$T$192,8,TRUE))&lt;10^-10,"SoCA",D925-VLOOKUP($D925,Sheet1!$M$5:$T$192,8,TRUE))</f>
        <v>7.9076263594245688E-2</v>
      </c>
      <c r="U925" s="109">
        <f>IF(VLOOKUP($D925,Sheet1!$M$5:$U$192,9,TRUE)=0,"",IF(ABS(D925-VLOOKUP($D925,Sheet1!$M$5:$U$192,9,TRUE))&lt;10^-10,"Alt.",D925-VLOOKUP($D925,Sheet1!$M$5:$U$192,9,TRUE)))</f>
        <v>6.5024096199788772E-2</v>
      </c>
      <c r="V925" s="132">
        <f>$D925-Sheet1!$M$3*$R925</f>
        <v>0.16304588913594031</v>
      </c>
      <c r="Z925" s="6"/>
      <c r="AA925" s="61"/>
    </row>
    <row r="926" spans="1:27" ht="13.5">
      <c r="A926" t="s">
        <v>997</v>
      </c>
      <c r="B926">
        <v>20169</v>
      </c>
      <c r="C926">
        <v>20480</v>
      </c>
      <c r="D926" s="13">
        <f t="shared" si="19"/>
        <v>26.491391921588082</v>
      </c>
      <c r="E926" s="61" t="s">
        <v>1931</v>
      </c>
      <c r="F926" s="65">
        <v>89.629759126203155</v>
      </c>
      <c r="G926" s="6">
        <v>730</v>
      </c>
      <c r="H926" s="6">
        <v>845</v>
      </c>
      <c r="I926" s="65">
        <v>-6.6311715140075602</v>
      </c>
      <c r="J926" s="6">
        <f>VLOOKUP($D926,Sheet1!$A$5:$C$192,3,TRUE)</f>
        <v>5</v>
      </c>
      <c r="K926" s="42" t="str">
        <f>VLOOKUP($D926,Sheet1!$A$5:$C$192,2,TRUE)</f>
        <v>|)</v>
      </c>
      <c r="L926" s="6">
        <f>FLOOR(VLOOKUP($D926,Sheet1!$D$5:$F$192,3,TRUE),1)</f>
        <v>11</v>
      </c>
      <c r="M926" s="42" t="str">
        <f>VLOOKUP($D926,Sheet1!$D$5:$F$192,2,TRUE)</f>
        <v>|)</v>
      </c>
      <c r="N926" s="23">
        <f>FLOOR(VLOOKUP($D926,Sheet1!$G$5:$I$192,3,TRUE),1)</f>
        <v>14</v>
      </c>
      <c r="O926" s="42" t="str">
        <f>VLOOKUP($D926,Sheet1!$G$5:$I$192,2,TRUE)</f>
        <v>|)</v>
      </c>
      <c r="P926" s="23">
        <v>1</v>
      </c>
      <c r="Q926" s="43" t="str">
        <f>VLOOKUP($D926,Sheet1!$J$5:$L$192,2,TRUE)</f>
        <v>|)..</v>
      </c>
      <c r="R926" s="23">
        <f>FLOOR(VLOOKUP($D926,Sheet1!$M$5:$O$192,3,TRUE),1)</f>
        <v>54</v>
      </c>
      <c r="S926" s="42" t="str">
        <f>VLOOKUP($D926,Sheet1!$M$5:$O$192,2,TRUE)</f>
        <v>|)..</v>
      </c>
      <c r="T926" s="117">
        <f>IF(ABS(D926-VLOOKUP($D926,Sheet1!$M$5:$T$192,8,TRUE))&lt;10^-10,"SoCA",D926-VLOOKUP($D926,Sheet1!$M$5:$T$192,8,TRUE))</f>
        <v>5.9824325589545424E-2</v>
      </c>
      <c r="U926" s="109">
        <f>IF(VLOOKUP($D926,Sheet1!$M$5:$U$192,9,TRUE)=0,"",IF(ABS(D926-VLOOKUP($D926,Sheet1!$M$5:$U$192,9,TRUE))&lt;10^-10,"Alt.",D926-VLOOKUP($D926,Sheet1!$M$5:$U$192,9,TRUE)))</f>
        <v>4.5772158195088508E-2</v>
      </c>
      <c r="V926" s="132">
        <f>$D926-Sheet1!$M$3*$R926</f>
        <v>0.14379395113124005</v>
      </c>
      <c r="Z926" s="6"/>
      <c r="AA926" s="61"/>
    </row>
    <row r="927" spans="1:27" ht="13.5">
      <c r="A927" t="s">
        <v>654</v>
      </c>
      <c r="B927">
        <v>62464</v>
      </c>
      <c r="C927">
        <v>63423</v>
      </c>
      <c r="D927" s="13">
        <f t="shared" si="19"/>
        <v>26.377395135335124</v>
      </c>
      <c r="E927" s="61" t="s">
        <v>1931</v>
      </c>
      <c r="F927" s="65">
        <v>92.117310617847323</v>
      </c>
      <c r="G927" s="6">
        <v>520</v>
      </c>
      <c r="H927" s="6">
        <v>499</v>
      </c>
      <c r="I927" s="65">
        <v>5.3758476834349382</v>
      </c>
      <c r="J927" s="6">
        <f>VLOOKUP($D927,Sheet1!$A$5:$C$192,3,TRUE)</f>
        <v>5</v>
      </c>
      <c r="K927" s="42" t="str">
        <f>VLOOKUP($D927,Sheet1!$A$5:$C$192,2,TRUE)</f>
        <v>|)</v>
      </c>
      <c r="L927" s="6">
        <f>FLOOR(VLOOKUP($D927,Sheet1!$D$5:$F$192,3,TRUE),1)</f>
        <v>11</v>
      </c>
      <c r="M927" s="42" t="str">
        <f>VLOOKUP($D927,Sheet1!$D$5:$F$192,2,TRUE)</f>
        <v>|)</v>
      </c>
      <c r="N927" s="23">
        <f>FLOOR(VLOOKUP($D927,Sheet1!$G$5:$I$192,3,TRUE),1)</f>
        <v>14</v>
      </c>
      <c r="O927" s="42" t="str">
        <f>VLOOKUP($D927,Sheet1!$G$5:$I$192,2,TRUE)</f>
        <v>|)</v>
      </c>
      <c r="P927" s="23">
        <v>1</v>
      </c>
      <c r="Q927" s="43" t="str">
        <f>VLOOKUP($D927,Sheet1!$J$5:$L$192,2,TRUE)</f>
        <v>|)..</v>
      </c>
      <c r="R927" s="23">
        <f>FLOOR(VLOOKUP($D927,Sheet1!$M$5:$O$192,3,TRUE),1)</f>
        <v>54</v>
      </c>
      <c r="S927" s="42" t="str">
        <f>VLOOKUP($D927,Sheet1!$M$5:$O$192,2,TRUE)</f>
        <v>|)..</v>
      </c>
      <c r="T927" s="117">
        <f>IF(ABS(D927-VLOOKUP($D927,Sheet1!$M$5:$T$192,8,TRUE))&lt;10^-10,"SoCA",D927-VLOOKUP($D927,Sheet1!$M$5:$T$192,8,TRUE))</f>
        <v>-5.4172460663412636E-2</v>
      </c>
      <c r="U927" s="109">
        <f>IF(VLOOKUP($D927,Sheet1!$M$5:$U$192,9,TRUE)=0,"",IF(ABS(D927-VLOOKUP($D927,Sheet1!$M$5:$U$192,9,TRUE))&lt;10^-10,"Alt.",D927-VLOOKUP($D927,Sheet1!$M$5:$U$192,9,TRUE)))</f>
        <v>-6.8224628057869552E-2</v>
      </c>
      <c r="V927" s="132">
        <f>$D927-Sheet1!$M$3*$R927</f>
        <v>2.979716487828199E-2</v>
      </c>
      <c r="Z927" s="6"/>
      <c r="AA927" s="61"/>
    </row>
    <row r="928" spans="1:27" ht="13.5">
      <c r="A928" t="s">
        <v>638</v>
      </c>
      <c r="B928">
        <v>5824</v>
      </c>
      <c r="C928">
        <v>5913</v>
      </c>
      <c r="D928" s="13">
        <f t="shared" si="19"/>
        <v>26.255905879134637</v>
      </c>
      <c r="E928" s="61" t="s">
        <v>1931</v>
      </c>
      <c r="F928" s="65">
        <v>111.86688138181181</v>
      </c>
      <c r="G928" s="6">
        <v>534</v>
      </c>
      <c r="H928" s="6">
        <v>483</v>
      </c>
      <c r="I928" s="65">
        <v>2.3833282195486607</v>
      </c>
      <c r="J928" s="6">
        <f>VLOOKUP($D928,Sheet1!$A$5:$C$192,3,TRUE)</f>
        <v>5</v>
      </c>
      <c r="K928" s="42" t="str">
        <f>VLOOKUP($D928,Sheet1!$A$5:$C$192,2,TRUE)</f>
        <v>|)</v>
      </c>
      <c r="L928" s="6">
        <f>FLOOR(VLOOKUP($D928,Sheet1!$D$5:$F$192,3,TRUE),1)</f>
        <v>11</v>
      </c>
      <c r="M928" s="42" t="str">
        <f>VLOOKUP($D928,Sheet1!$D$5:$F$192,2,TRUE)</f>
        <v>|)</v>
      </c>
      <c r="N928" s="23">
        <f>FLOOR(VLOOKUP($D928,Sheet1!$G$5:$I$192,3,TRUE),1)</f>
        <v>14</v>
      </c>
      <c r="O928" s="42" t="str">
        <f>VLOOKUP($D928,Sheet1!$G$5:$I$192,2,TRUE)</f>
        <v>|)</v>
      </c>
      <c r="P928" s="23">
        <v>1</v>
      </c>
      <c r="Q928" s="43" t="str">
        <f>VLOOKUP($D928,Sheet1!$J$5:$L$192,2,TRUE)</f>
        <v>|)..</v>
      </c>
      <c r="R928" s="23">
        <f>FLOOR(VLOOKUP($D928,Sheet1!$M$5:$O$192,3,TRUE),1)</f>
        <v>54</v>
      </c>
      <c r="S928" s="42" t="str">
        <f>VLOOKUP($D928,Sheet1!$M$5:$O$192,2,TRUE)</f>
        <v>|)..</v>
      </c>
      <c r="T928" s="117">
        <f>IF(ABS(D928-VLOOKUP($D928,Sheet1!$M$5:$T$192,8,TRUE))&lt;10^-10,"SoCA",D928-VLOOKUP($D928,Sheet1!$M$5:$T$192,8,TRUE))</f>
        <v>-0.17566171686389964</v>
      </c>
      <c r="U928" s="109">
        <f>IF(VLOOKUP($D928,Sheet1!$M$5:$U$192,9,TRUE)=0,"",IF(ABS(D928-VLOOKUP($D928,Sheet1!$M$5:$U$192,9,TRUE))&lt;10^-10,"Alt.",D928-VLOOKUP($D928,Sheet1!$M$5:$U$192,9,TRUE)))</f>
        <v>-0.18971388425835656</v>
      </c>
      <c r="V928" s="132">
        <f>$D928-Sheet1!$M$3*$R928</f>
        <v>-9.1692091322205016E-2</v>
      </c>
      <c r="Z928" s="6"/>
      <c r="AA928" s="61"/>
    </row>
    <row r="929" spans="1:27" ht="13.5">
      <c r="A929" t="s">
        <v>1551</v>
      </c>
      <c r="B929">
        <v>30998528</v>
      </c>
      <c r="C929">
        <v>31473117</v>
      </c>
      <c r="D929" s="13">
        <f t="shared" si="19"/>
        <v>26.304427957610866</v>
      </c>
      <c r="E929" s="61">
        <v>43</v>
      </c>
      <c r="F929" s="65">
        <v>125.62131123451229</v>
      </c>
      <c r="G929" s="6">
        <v>1458</v>
      </c>
      <c r="H929" s="6">
        <v>1400</v>
      </c>
      <c r="I929" s="65">
        <v>8.3803405384013221</v>
      </c>
      <c r="J929" s="6">
        <f>VLOOKUP($D929,Sheet1!$A$5:$C$192,3,TRUE)</f>
        <v>5</v>
      </c>
      <c r="K929" s="42" t="str">
        <f>VLOOKUP($D929,Sheet1!$A$5:$C$192,2,TRUE)</f>
        <v>|)</v>
      </c>
      <c r="L929" s="6">
        <f>FLOOR(VLOOKUP($D929,Sheet1!$D$5:$F$192,3,TRUE),1)</f>
        <v>11</v>
      </c>
      <c r="M929" s="42" t="str">
        <f>VLOOKUP($D929,Sheet1!$D$5:$F$192,2,TRUE)</f>
        <v>|)</v>
      </c>
      <c r="N929" s="23">
        <f>FLOOR(VLOOKUP($D929,Sheet1!$G$5:$I$192,3,TRUE),1)</f>
        <v>14</v>
      </c>
      <c r="O929" s="42" t="str">
        <f>VLOOKUP($D929,Sheet1!$G$5:$I$192,2,TRUE)</f>
        <v>|)</v>
      </c>
      <c r="P929" s="23">
        <v>1</v>
      </c>
      <c r="Q929" s="43" t="str">
        <f>VLOOKUP($D929,Sheet1!$J$5:$L$192,2,TRUE)</f>
        <v>|)..</v>
      </c>
      <c r="R929" s="23">
        <f>FLOOR(VLOOKUP($D929,Sheet1!$M$5:$O$192,3,TRUE),1)</f>
        <v>54</v>
      </c>
      <c r="S929" s="42" t="str">
        <f>VLOOKUP($D929,Sheet1!$M$5:$O$192,2,TRUE)</f>
        <v>|)..</v>
      </c>
      <c r="T929" s="117">
        <f>IF(ABS(D929-VLOOKUP($D929,Sheet1!$M$5:$T$192,8,TRUE))&lt;10^-10,"SoCA",D929-VLOOKUP($D929,Sheet1!$M$5:$T$192,8,TRUE))</f>
        <v>-0.12713963838767128</v>
      </c>
      <c r="U929" s="109">
        <f>IF(VLOOKUP($D929,Sheet1!$M$5:$U$192,9,TRUE)=0,"",IF(ABS(D929-VLOOKUP($D929,Sheet1!$M$5:$U$192,9,TRUE))&lt;10^-10,"Alt.",D929-VLOOKUP($D929,Sheet1!$M$5:$U$192,9,TRUE)))</f>
        <v>-0.1411918057821282</v>
      </c>
      <c r="V929" s="132">
        <f>$D929-Sheet1!$M$3*$R929</f>
        <v>-4.3170012845976657E-2</v>
      </c>
      <c r="Z929" s="6"/>
      <c r="AA929" s="61"/>
    </row>
    <row r="930" spans="1:27" ht="13.5">
      <c r="A930" t="s">
        <v>1064</v>
      </c>
      <c r="B930">
        <v>106496</v>
      </c>
      <c r="C930">
        <v>108135</v>
      </c>
      <c r="D930" s="13">
        <f t="shared" si="19"/>
        <v>26.44117358213877</v>
      </c>
      <c r="E930" s="61" t="s">
        <v>1931</v>
      </c>
      <c r="F930" s="65">
        <v>128.94881087240444</v>
      </c>
      <c r="G930" s="6">
        <v>981</v>
      </c>
      <c r="H930" s="6">
        <v>913</v>
      </c>
      <c r="I930" s="65">
        <v>3.3719206121077061</v>
      </c>
      <c r="J930" s="6">
        <f>VLOOKUP($D930,Sheet1!$A$5:$C$192,3,TRUE)</f>
        <v>5</v>
      </c>
      <c r="K930" s="42" t="str">
        <f>VLOOKUP($D930,Sheet1!$A$5:$C$192,2,TRUE)</f>
        <v>|)</v>
      </c>
      <c r="L930" s="6">
        <f>FLOOR(VLOOKUP($D930,Sheet1!$D$5:$F$192,3,TRUE),1)</f>
        <v>11</v>
      </c>
      <c r="M930" s="42" t="str">
        <f>VLOOKUP($D930,Sheet1!$D$5:$F$192,2,TRUE)</f>
        <v>|)</v>
      </c>
      <c r="N930" s="23">
        <f>FLOOR(VLOOKUP($D930,Sheet1!$G$5:$I$192,3,TRUE),1)</f>
        <v>14</v>
      </c>
      <c r="O930" s="42" t="str">
        <f>VLOOKUP($D930,Sheet1!$G$5:$I$192,2,TRUE)</f>
        <v>|)</v>
      </c>
      <c r="P930" s="23">
        <v>1</v>
      </c>
      <c r="Q930" s="43" t="str">
        <f>VLOOKUP($D930,Sheet1!$J$5:$L$192,2,TRUE)</f>
        <v>|)..</v>
      </c>
      <c r="R930" s="23">
        <f>FLOOR(VLOOKUP($D930,Sheet1!$M$5:$O$192,3,TRUE),1)</f>
        <v>54</v>
      </c>
      <c r="S930" s="42" t="str">
        <f>VLOOKUP($D930,Sheet1!$M$5:$O$192,2,TRUE)</f>
        <v>|)..</v>
      </c>
      <c r="T930" s="117">
        <f>IF(ABS(D930-VLOOKUP($D930,Sheet1!$M$5:$T$192,8,TRUE))&lt;10^-10,"SoCA",D930-VLOOKUP($D930,Sheet1!$M$5:$T$192,8,TRUE))</f>
        <v>9.6059861402331137E-3</v>
      </c>
      <c r="U930" s="109">
        <f>IF(VLOOKUP($D930,Sheet1!$M$5:$U$192,9,TRUE)=0,"",IF(ABS(D930-VLOOKUP($D930,Sheet1!$M$5:$U$192,9,TRUE))&lt;10^-10,"Alt.",D930-VLOOKUP($D930,Sheet1!$M$5:$U$192,9,TRUE)))</f>
        <v>-4.4461812542238022E-3</v>
      </c>
      <c r="V930" s="132">
        <f>$D930-Sheet1!$M$3*$R930</f>
        <v>9.3575611681927739E-2</v>
      </c>
      <c r="Z930" s="6"/>
      <c r="AA930" s="61"/>
    </row>
    <row r="931" spans="1:27" ht="13.5">
      <c r="A931" s="6" t="s">
        <v>1871</v>
      </c>
      <c r="B931">
        <v>2775303</v>
      </c>
      <c r="C931">
        <v>2818048</v>
      </c>
      <c r="D931" s="13">
        <f t="shared" si="19"/>
        <v>26.46107497547839</v>
      </c>
      <c r="E931" s="61">
        <v>47</v>
      </c>
      <c r="F931" s="65">
        <v>142.35579661711324</v>
      </c>
      <c r="G931" s="59">
        <v>1707</v>
      </c>
      <c r="H931" s="63">
        <v>1000076</v>
      </c>
      <c r="I931" s="65">
        <v>-11.629304789184937</v>
      </c>
      <c r="J931" s="6">
        <f>VLOOKUP($D931,Sheet1!$A$5:$C$192,3,TRUE)</f>
        <v>5</v>
      </c>
      <c r="K931" s="42" t="str">
        <f>VLOOKUP($D931,Sheet1!$A$5:$C$192,2,TRUE)</f>
        <v>|)</v>
      </c>
      <c r="L931" s="6">
        <f>FLOOR(VLOOKUP($D931,Sheet1!$D$5:$F$192,3,TRUE),1)</f>
        <v>11</v>
      </c>
      <c r="M931" s="42" t="str">
        <f>VLOOKUP($D931,Sheet1!$D$5:$F$192,2,TRUE)</f>
        <v>|)</v>
      </c>
      <c r="N931" s="23">
        <f>FLOOR(VLOOKUP($D931,Sheet1!$G$5:$I$192,3,TRUE),1)</f>
        <v>14</v>
      </c>
      <c r="O931" s="42" t="str">
        <f>VLOOKUP($D931,Sheet1!$G$5:$I$192,2,TRUE)</f>
        <v>|)</v>
      </c>
      <c r="P931" s="23">
        <v>1</v>
      </c>
      <c r="Q931" s="43" t="str">
        <f>VLOOKUP($D931,Sheet1!$J$5:$L$192,2,TRUE)</f>
        <v>|)..</v>
      </c>
      <c r="R931" s="23">
        <f>FLOOR(VLOOKUP($D931,Sheet1!$M$5:$O$192,3,TRUE),1)</f>
        <v>54</v>
      </c>
      <c r="S931" s="42" t="str">
        <f>VLOOKUP($D931,Sheet1!$M$5:$O$192,2,TRUE)</f>
        <v>|)..</v>
      </c>
      <c r="T931" s="117">
        <f>IF(ABS(D931-VLOOKUP($D931,Sheet1!$M$5:$T$192,8,TRUE))&lt;10^-10,"SoCA",D931-VLOOKUP($D931,Sheet1!$M$5:$T$192,8,TRUE))</f>
        <v>2.9507379479852602E-2</v>
      </c>
      <c r="U931" s="109">
        <f>IF(VLOOKUP($D931,Sheet1!$M$5:$U$192,9,TRUE)=0,"",IF(ABS(D931-VLOOKUP($D931,Sheet1!$M$5:$U$192,9,TRUE))&lt;10^-10,"Alt.",D931-VLOOKUP($D931,Sheet1!$M$5:$U$192,9,TRUE)))</f>
        <v>1.5455212085395686E-2</v>
      </c>
      <c r="V931" s="132">
        <f>$D931-Sheet1!$M$3*$R931</f>
        <v>0.11347700502154723</v>
      </c>
      <c r="Z931" s="6"/>
      <c r="AA931" s="61"/>
    </row>
    <row r="932" spans="1:27" ht="13.5">
      <c r="A932" t="s">
        <v>968</v>
      </c>
      <c r="B932">
        <v>81685</v>
      </c>
      <c r="C932">
        <v>82944</v>
      </c>
      <c r="D932" s="13">
        <f t="shared" si="19"/>
        <v>26.479735167807185</v>
      </c>
      <c r="E932" s="61">
        <v>31</v>
      </c>
      <c r="F932" s="65">
        <v>151.46043811376765</v>
      </c>
      <c r="G932" s="6">
        <v>877</v>
      </c>
      <c r="H932" s="6">
        <v>816</v>
      </c>
      <c r="I932" s="65">
        <v>2.3695462347905965</v>
      </c>
      <c r="J932" s="6">
        <f>VLOOKUP($D932,Sheet1!$A$5:$C$192,3,TRUE)</f>
        <v>5</v>
      </c>
      <c r="K932" s="42" t="str">
        <f>VLOOKUP($D932,Sheet1!$A$5:$C$192,2,TRUE)</f>
        <v>|)</v>
      </c>
      <c r="L932" s="6">
        <f>FLOOR(VLOOKUP($D932,Sheet1!$D$5:$F$192,3,TRUE),1)</f>
        <v>11</v>
      </c>
      <c r="M932" s="42" t="str">
        <f>VLOOKUP($D932,Sheet1!$D$5:$F$192,2,TRUE)</f>
        <v>|)</v>
      </c>
      <c r="N932" s="23">
        <f>FLOOR(VLOOKUP($D932,Sheet1!$G$5:$I$192,3,TRUE),1)</f>
        <v>14</v>
      </c>
      <c r="O932" s="42" t="str">
        <f>VLOOKUP($D932,Sheet1!$G$5:$I$192,2,TRUE)</f>
        <v>|)</v>
      </c>
      <c r="P932" s="23">
        <v>1</v>
      </c>
      <c r="Q932" s="43" t="str">
        <f>VLOOKUP($D932,Sheet1!$J$5:$L$192,2,TRUE)</f>
        <v>|)..</v>
      </c>
      <c r="R932" s="23">
        <f>FLOOR(VLOOKUP($D932,Sheet1!$M$5:$O$192,3,TRUE),1)</f>
        <v>54</v>
      </c>
      <c r="S932" s="42" t="str">
        <f>VLOOKUP($D932,Sheet1!$M$5:$O$192,2,TRUE)</f>
        <v>|)..</v>
      </c>
      <c r="T932" s="117">
        <f>IF(ABS(D932-VLOOKUP($D932,Sheet1!$M$5:$T$192,8,TRUE))&lt;10^-10,"SoCA",D932-VLOOKUP($D932,Sheet1!$M$5:$T$192,8,TRUE))</f>
        <v>4.8167571808647835E-2</v>
      </c>
      <c r="U932" s="109">
        <f>IF(VLOOKUP($D932,Sheet1!$M$5:$U$192,9,TRUE)=0,"",IF(ABS(D932-VLOOKUP($D932,Sheet1!$M$5:$U$192,9,TRUE))&lt;10^-10,"Alt.",D932-VLOOKUP($D932,Sheet1!$M$5:$U$192,9,TRUE)))</f>
        <v>3.411540441419092E-2</v>
      </c>
      <c r="V932" s="132">
        <f>$D932-Sheet1!$M$3*$R932</f>
        <v>0.13213719735034246</v>
      </c>
      <c r="Z932" s="6"/>
      <c r="AA932" s="61"/>
    </row>
    <row r="933" spans="1:27" ht="13.5">
      <c r="A933" t="s">
        <v>1760</v>
      </c>
      <c r="B933">
        <v>1099511627776</v>
      </c>
      <c r="C933">
        <v>1116491110875</v>
      </c>
      <c r="D933" s="13">
        <f t="shared" si="19"/>
        <v>26.530684324778111</v>
      </c>
      <c r="E933" s="61">
        <v>7</v>
      </c>
      <c r="F933" s="65">
        <v>189.1103983937424</v>
      </c>
      <c r="G933" s="6">
        <v>1669</v>
      </c>
      <c r="H933" s="6">
        <v>1609</v>
      </c>
      <c r="I933" s="65">
        <v>10.366409109578012</v>
      </c>
      <c r="J933" s="6">
        <f>VLOOKUP($D933,Sheet1!$A$5:$C$192,3,TRUE)</f>
        <v>5</v>
      </c>
      <c r="K933" s="42" t="str">
        <f>VLOOKUP($D933,Sheet1!$A$5:$C$192,2,TRUE)</f>
        <v>|)</v>
      </c>
      <c r="L933" s="6">
        <f>FLOOR(VLOOKUP($D933,Sheet1!$D$5:$F$192,3,TRUE),1)</f>
        <v>11</v>
      </c>
      <c r="M933" s="42" t="str">
        <f>VLOOKUP($D933,Sheet1!$D$5:$F$192,2,TRUE)</f>
        <v>|)</v>
      </c>
      <c r="N933" s="23">
        <f>FLOOR(VLOOKUP($D933,Sheet1!$G$5:$I$192,3,TRUE),1)</f>
        <v>14</v>
      </c>
      <c r="O933" s="42" t="str">
        <f>VLOOKUP($D933,Sheet1!$G$5:$I$192,2,TRUE)</f>
        <v>|)</v>
      </c>
      <c r="P933" s="23">
        <v>1</v>
      </c>
      <c r="Q933" s="43" t="str">
        <f>VLOOKUP($D933,Sheet1!$J$5:$L$192,2,TRUE)</f>
        <v>|)..</v>
      </c>
      <c r="R933" s="23">
        <f>FLOOR(VLOOKUP($D933,Sheet1!$M$5:$O$192,3,TRUE),1)</f>
        <v>54</v>
      </c>
      <c r="S933" s="42" t="str">
        <f>VLOOKUP($D933,Sheet1!$M$5:$O$192,2,TRUE)</f>
        <v>|)..</v>
      </c>
      <c r="T933" s="117">
        <f>IF(ABS(D933-VLOOKUP($D933,Sheet1!$M$5:$T$192,8,TRUE))&lt;10^-10,"SoCA",D933-VLOOKUP($D933,Sheet1!$M$5:$T$192,8,TRUE))</f>
        <v>9.9116728779574004E-2</v>
      </c>
      <c r="U933" s="109">
        <f>IF(VLOOKUP($D933,Sheet1!$M$5:$U$192,9,TRUE)=0,"",IF(ABS(D933-VLOOKUP($D933,Sheet1!$M$5:$U$192,9,TRUE))&lt;10^-10,"Alt.",D933-VLOOKUP($D933,Sheet1!$M$5:$U$192,9,TRUE)))</f>
        <v>8.5064561385117088E-2</v>
      </c>
      <c r="V933" s="132">
        <f>$D933-Sheet1!$M$3*$R933</f>
        <v>0.18308635432126863</v>
      </c>
      <c r="Z933" s="6"/>
      <c r="AA933" s="61"/>
    </row>
    <row r="934" spans="1:27" ht="13.5">
      <c r="A934" t="s">
        <v>765</v>
      </c>
      <c r="B934">
        <v>4194304</v>
      </c>
      <c r="C934">
        <v>4258665</v>
      </c>
      <c r="D934" s="13">
        <f t="shared" si="19"/>
        <v>26.363780088787536</v>
      </c>
      <c r="E934" s="61" t="s">
        <v>1931</v>
      </c>
      <c r="F934" s="65">
        <v>132498.96768351024</v>
      </c>
      <c r="G934" s="6">
        <v>659</v>
      </c>
      <c r="H934" s="6">
        <v>611</v>
      </c>
      <c r="I934" s="65">
        <v>0.3766860114531887</v>
      </c>
      <c r="J934" s="6">
        <f>VLOOKUP($D934,Sheet1!$A$5:$C$192,3,TRUE)</f>
        <v>5</v>
      </c>
      <c r="K934" s="42" t="str">
        <f>VLOOKUP($D934,Sheet1!$A$5:$C$192,2,TRUE)</f>
        <v>|)</v>
      </c>
      <c r="L934" s="6">
        <f>FLOOR(VLOOKUP($D934,Sheet1!$D$5:$F$192,3,TRUE),1)</f>
        <v>11</v>
      </c>
      <c r="M934" s="42" t="str">
        <f>VLOOKUP($D934,Sheet1!$D$5:$F$192,2,TRUE)</f>
        <v>|)</v>
      </c>
      <c r="N934" s="23">
        <f>FLOOR(VLOOKUP($D934,Sheet1!$G$5:$I$192,3,TRUE),1)</f>
        <v>14</v>
      </c>
      <c r="O934" s="42" t="str">
        <f>VLOOKUP($D934,Sheet1!$G$5:$I$192,2,TRUE)</f>
        <v>|)</v>
      </c>
      <c r="P934" s="23">
        <v>1</v>
      </c>
      <c r="Q934" s="43" t="str">
        <f>VLOOKUP($D934,Sheet1!$J$5:$L$192,2,TRUE)</f>
        <v>|)..</v>
      </c>
      <c r="R934" s="23">
        <f>FLOOR(VLOOKUP($D934,Sheet1!$M$5:$O$192,3,TRUE),1)</f>
        <v>54</v>
      </c>
      <c r="S934" s="42" t="str">
        <f>VLOOKUP($D934,Sheet1!$M$5:$O$192,2,TRUE)</f>
        <v>|)..</v>
      </c>
      <c r="T934" s="117">
        <f>IF(ABS(D934-VLOOKUP($D934,Sheet1!$M$5:$T$192,8,TRUE))&lt;10^-10,"SoCA",D934-VLOOKUP($D934,Sheet1!$M$5:$T$192,8,TRUE))</f>
        <v>-6.7787507211001241E-2</v>
      </c>
      <c r="U934" s="109">
        <f>IF(VLOOKUP($D934,Sheet1!$M$5:$U$192,9,TRUE)=0,"",IF(ABS(D934-VLOOKUP($D934,Sheet1!$M$5:$U$192,9,TRUE))&lt;10^-10,"Alt.",D934-VLOOKUP($D934,Sheet1!$M$5:$U$192,9,TRUE)))</f>
        <v>-8.1839674605458157E-2</v>
      </c>
      <c r="V934" s="132">
        <f>$D934-Sheet1!$M$3*$R934</f>
        <v>1.6182118330693385E-2</v>
      </c>
      <c r="Z934" s="6"/>
      <c r="AA934" s="61"/>
    </row>
    <row r="935" spans="1:27" ht="13.5">
      <c r="A935" s="38" t="s">
        <v>112</v>
      </c>
      <c r="B935" s="87">
        <f>2^6</f>
        <v>64</v>
      </c>
      <c r="C935" s="38">
        <f>5*13</f>
        <v>65</v>
      </c>
      <c r="D935" s="13">
        <f t="shared" si="19"/>
        <v>26.841375634145415</v>
      </c>
      <c r="E935" s="61">
        <v>13</v>
      </c>
      <c r="F935" s="65">
        <v>25.234292188651025</v>
      </c>
      <c r="G935" s="6">
        <v>71</v>
      </c>
      <c r="H935" s="6">
        <v>64</v>
      </c>
      <c r="I935" s="65">
        <v>-1.6527212862497995</v>
      </c>
      <c r="J935" s="6">
        <f>VLOOKUP($D935,Sheet1!$A$5:$C$192,3,TRUE)</f>
        <v>5</v>
      </c>
      <c r="K935" s="42" t="str">
        <f>VLOOKUP($D935,Sheet1!$A$5:$C$192,2,TRUE)</f>
        <v>|)</v>
      </c>
      <c r="L935" s="6">
        <f>FLOOR(VLOOKUP($D935,Sheet1!$D$5:$F$192,3,TRUE),1)</f>
        <v>11</v>
      </c>
      <c r="M935" s="42" t="str">
        <f>VLOOKUP($D935,Sheet1!$D$5:$F$192,2,TRUE)</f>
        <v>|)</v>
      </c>
      <c r="N935" s="23">
        <f>FLOOR(VLOOKUP($D935,Sheet1!$G$5:$I$192,3,TRUE),1)</f>
        <v>14</v>
      </c>
      <c r="O935" s="42" t="str">
        <f>VLOOKUP($D935,Sheet1!$G$5:$I$192,2,TRUE)</f>
        <v>|)</v>
      </c>
      <c r="P935" s="23">
        <v>1</v>
      </c>
      <c r="Q935" s="45" t="str">
        <f>VLOOKUP($D935,Sheet1!$J$5:$L$192,2,TRUE)</f>
        <v>|).</v>
      </c>
      <c r="R935" s="38">
        <f>FLOOR(VLOOKUP($D935,Sheet1!$M$5:$O$192,3,TRUE),1)</f>
        <v>55</v>
      </c>
      <c r="S935" s="45" t="str">
        <f>VLOOKUP($D935,Sheet1!$M$5:$O$192,2,TRUE)</f>
        <v>|).</v>
      </c>
      <c r="T935" s="112" t="str">
        <f>IF(ABS(D935-VLOOKUP($D935,Sheet1!$M$5:$T$192,8,TRUE))&lt;10^-10,"SoCA",D935-VLOOKUP($D935,Sheet1!$M$5:$T$192,8,TRUE))</f>
        <v>SoCA</v>
      </c>
      <c r="U935" s="108">
        <f>IF(VLOOKUP($D935,Sheet1!$M$5:$U$192,9,TRUE)=0,"",IF(ABS(D935-VLOOKUP($D935,Sheet1!$M$5:$U$192,9,TRUE))&lt;10^-10,"Alt.",D935-VLOOKUP($D935,Sheet1!$M$5:$U$192,9,TRUE)))</f>
        <v>-2.6960295202332674E-2</v>
      </c>
      <c r="V935" s="133">
        <f>$D935-Sheet1!$M$3*$R935</f>
        <v>5.8591827541860653E-3</v>
      </c>
      <c r="Z935" s="6"/>
      <c r="AA935" s="61"/>
    </row>
    <row r="936" spans="1:27" ht="13.5">
      <c r="A936" s="6" t="s">
        <v>676</v>
      </c>
      <c r="B936" s="6">
        <f>5^4*7^2</f>
        <v>30625</v>
      </c>
      <c r="C936" s="6">
        <f>2^7*3^5</f>
        <v>31104</v>
      </c>
      <c r="D936" s="13">
        <f t="shared" si="19"/>
        <v>26.868335929348099</v>
      </c>
      <c r="E936" s="61">
        <v>7</v>
      </c>
      <c r="F936" s="65">
        <v>75.217361781489913</v>
      </c>
      <c r="G936" s="6">
        <v>566</v>
      </c>
      <c r="H936" s="6">
        <v>521</v>
      </c>
      <c r="I936" s="65">
        <v>3.3456186701528683</v>
      </c>
      <c r="J936" s="6">
        <f>VLOOKUP($D936,Sheet1!$A$5:$C$192,3,TRUE)</f>
        <v>5</v>
      </c>
      <c r="K936" s="42" t="str">
        <f>VLOOKUP($D936,Sheet1!$A$5:$C$192,2,TRUE)</f>
        <v>|)</v>
      </c>
      <c r="L936" s="6">
        <f>FLOOR(VLOOKUP($D936,Sheet1!$D$5:$F$192,3,TRUE),1)</f>
        <v>11</v>
      </c>
      <c r="M936" s="42" t="str">
        <f>VLOOKUP($D936,Sheet1!$D$5:$F$192,2,TRUE)</f>
        <v>|)</v>
      </c>
      <c r="N936" s="23">
        <f>FLOOR(VLOOKUP($D936,Sheet1!$G$5:$I$192,3,TRUE),1)</f>
        <v>14</v>
      </c>
      <c r="O936" s="42" t="str">
        <f>VLOOKUP($D936,Sheet1!$G$5:$I$192,2,TRUE)</f>
        <v>|)</v>
      </c>
      <c r="P936" s="23">
        <v>1</v>
      </c>
      <c r="Q936" s="43" t="str">
        <f>VLOOKUP($D936,Sheet1!$J$5:$L$192,2,TRUE)</f>
        <v>|).</v>
      </c>
      <c r="R936" s="23">
        <f>FLOOR(VLOOKUP($D936,Sheet1!$M$5:$O$192,3,TRUE),1)</f>
        <v>55</v>
      </c>
      <c r="S936" s="42" t="str">
        <f>VLOOKUP($D936,Sheet1!$M$5:$O$192,2,TRUE)</f>
        <v>|).</v>
      </c>
      <c r="T936" s="117">
        <f>IF(ABS(D936-VLOOKUP($D936,Sheet1!$M$5:$T$192,8,TRUE))&lt;10^-10,"SoCA",D936-VLOOKUP($D936,Sheet1!$M$5:$T$192,8,TRUE))</f>
        <v>2.6960295202787421E-2</v>
      </c>
      <c r="U936" s="109" t="str">
        <f>IF(VLOOKUP($D936,Sheet1!$M$5:$U$192,9,TRUE)=0,"",IF(ABS(D936-VLOOKUP($D936,Sheet1!$M$5:$U$192,9,TRUE))&lt;10^-10,"Alt.",D936-VLOOKUP($D936,Sheet1!$M$5:$U$192,9,TRUE)))</f>
        <v>Alt.</v>
      </c>
      <c r="V936" s="132">
        <f>$D936-Sheet1!$M$3*$R936</f>
        <v>3.2819477956870458E-2</v>
      </c>
      <c r="Z936" s="6"/>
      <c r="AA936" s="61"/>
    </row>
    <row r="937" spans="1:27" ht="13.5">
      <c r="A937" t="s">
        <v>1165</v>
      </c>
      <c r="B937">
        <v>69632</v>
      </c>
      <c r="C937">
        <v>70713</v>
      </c>
      <c r="D937" s="13">
        <f t="shared" si="19"/>
        <v>26.670006316470591</v>
      </c>
      <c r="E937" s="61" t="s">
        <v>1931</v>
      </c>
      <c r="F937" s="65">
        <v>115.10954220792321</v>
      </c>
      <c r="G937" s="6">
        <v>1068</v>
      </c>
      <c r="H937" s="6">
        <v>1014</v>
      </c>
      <c r="I937" s="65">
        <v>4.3578305469718552</v>
      </c>
      <c r="J937" s="6">
        <f>VLOOKUP($D937,Sheet1!$A$5:$C$192,3,TRUE)</f>
        <v>5</v>
      </c>
      <c r="K937" s="42" t="str">
        <f>VLOOKUP($D937,Sheet1!$A$5:$C$192,2,TRUE)</f>
        <v>|)</v>
      </c>
      <c r="L937" s="6">
        <f>FLOOR(VLOOKUP($D937,Sheet1!$D$5:$F$192,3,TRUE),1)</f>
        <v>11</v>
      </c>
      <c r="M937" s="42" t="str">
        <f>VLOOKUP($D937,Sheet1!$D$5:$F$192,2,TRUE)</f>
        <v>|)</v>
      </c>
      <c r="N937" s="23">
        <f>FLOOR(VLOOKUP($D937,Sheet1!$G$5:$I$192,3,TRUE),1)</f>
        <v>14</v>
      </c>
      <c r="O937" s="42" t="str">
        <f>VLOOKUP($D937,Sheet1!$G$5:$I$192,2,TRUE)</f>
        <v>|)</v>
      </c>
      <c r="P937" s="23">
        <v>1</v>
      </c>
      <c r="Q937" s="43" t="str">
        <f>VLOOKUP($D937,Sheet1!$J$5:$L$192,2,TRUE)</f>
        <v>|).</v>
      </c>
      <c r="R937" s="23">
        <f>FLOOR(VLOOKUP($D937,Sheet1!$M$5:$O$192,3,TRUE),1)</f>
        <v>55</v>
      </c>
      <c r="S937" s="42" t="str">
        <f>VLOOKUP($D937,Sheet1!$M$5:$O$192,2,TRUE)</f>
        <v>|).</v>
      </c>
      <c r="T937" s="117">
        <f>IF(ABS(D937-VLOOKUP($D937,Sheet1!$M$5:$T$192,8,TRUE))&lt;10^-10,"SoCA",D937-VLOOKUP($D937,Sheet1!$M$5:$T$192,8,TRUE))</f>
        <v>-0.17136931767472063</v>
      </c>
      <c r="U937" s="109">
        <f>IF(VLOOKUP($D937,Sheet1!$M$5:$U$192,9,TRUE)=0,"",IF(ABS(D937-VLOOKUP($D937,Sheet1!$M$5:$U$192,9,TRUE))&lt;10^-10,"Alt.",D937-VLOOKUP($D937,Sheet1!$M$5:$U$192,9,TRUE)))</f>
        <v>-0.19832961287715634</v>
      </c>
      <c r="V937" s="132">
        <f>$D937-Sheet1!$M$3*$R937</f>
        <v>-0.1655101349206376</v>
      </c>
      <c r="Z937" s="6"/>
      <c r="AA937" s="61"/>
    </row>
    <row r="938" spans="1:27" ht="13.5">
      <c r="A938" t="s">
        <v>1060</v>
      </c>
      <c r="B938">
        <v>25600</v>
      </c>
      <c r="C938">
        <v>26001</v>
      </c>
      <c r="D938" s="13">
        <f t="shared" si="19"/>
        <v>26.907960278643728</v>
      </c>
      <c r="E938" s="61" t="s">
        <v>1931</v>
      </c>
      <c r="F938" s="65">
        <v>140.95638353801206</v>
      </c>
      <c r="G938" s="6">
        <v>979</v>
      </c>
      <c r="H938" s="6">
        <v>909</v>
      </c>
      <c r="I938" s="65">
        <v>3.3431788546073724</v>
      </c>
      <c r="J938" s="6">
        <f>VLOOKUP($D938,Sheet1!$A$5:$C$192,3,TRUE)</f>
        <v>5</v>
      </c>
      <c r="K938" s="42" t="str">
        <f>VLOOKUP($D938,Sheet1!$A$5:$C$192,2,TRUE)</f>
        <v>|)</v>
      </c>
      <c r="L938" s="6">
        <f>FLOOR(VLOOKUP($D938,Sheet1!$D$5:$F$192,3,TRUE),1)</f>
        <v>11</v>
      </c>
      <c r="M938" s="42" t="str">
        <f>VLOOKUP($D938,Sheet1!$D$5:$F$192,2,TRUE)</f>
        <v>|)</v>
      </c>
      <c r="N938" s="23">
        <f>FLOOR(VLOOKUP($D938,Sheet1!$G$5:$I$192,3,TRUE),1)</f>
        <v>14</v>
      </c>
      <c r="O938" s="42" t="str">
        <f>VLOOKUP($D938,Sheet1!$G$5:$I$192,2,TRUE)</f>
        <v>|)</v>
      </c>
      <c r="P938" s="23">
        <v>1</v>
      </c>
      <c r="Q938" s="43" t="str">
        <f>VLOOKUP($D938,Sheet1!$J$5:$L$192,2,TRUE)</f>
        <v>|).</v>
      </c>
      <c r="R938" s="23">
        <f>FLOOR(VLOOKUP($D938,Sheet1!$M$5:$O$192,3,TRUE),1)</f>
        <v>55</v>
      </c>
      <c r="S938" s="42" t="str">
        <f>VLOOKUP($D938,Sheet1!$M$5:$O$192,2,TRUE)</f>
        <v>|).</v>
      </c>
      <c r="T938" s="117">
        <f>IF(ABS(D938-VLOOKUP($D938,Sheet1!$M$5:$T$192,8,TRUE))&lt;10^-10,"SoCA",D938-VLOOKUP($D938,Sheet1!$M$5:$T$192,8,TRUE))</f>
        <v>6.6584644498416168E-2</v>
      </c>
      <c r="U938" s="109">
        <f>IF(VLOOKUP($D938,Sheet1!$M$5:$U$192,9,TRUE)=0,"",IF(ABS(D938-VLOOKUP($D938,Sheet1!$M$5:$U$192,9,TRUE))&lt;10^-10,"Alt.",D938-VLOOKUP($D938,Sheet1!$M$5:$U$192,9,TRUE)))</f>
        <v>3.9624349295980466E-2</v>
      </c>
      <c r="V938" s="132">
        <f>$D938-Sheet1!$M$3*$R938</f>
        <v>7.2443827252499204E-2</v>
      </c>
      <c r="Z938" s="6"/>
      <c r="AA938" s="61"/>
    </row>
    <row r="939" spans="1:27" ht="13.5">
      <c r="A939" t="s">
        <v>1449</v>
      </c>
      <c r="B939">
        <v>794624</v>
      </c>
      <c r="C939">
        <v>807003</v>
      </c>
      <c r="D939" s="13">
        <f t="shared" si="19"/>
        <v>26.762002705633922</v>
      </c>
      <c r="E939" s="61" t="s">
        <v>1931</v>
      </c>
      <c r="F939" s="65">
        <v>147.2187122605535</v>
      </c>
      <c r="G939" s="6">
        <v>1363</v>
      </c>
      <c r="H939" s="6">
        <v>1298</v>
      </c>
      <c r="I939" s="65">
        <v>7.352165994129976</v>
      </c>
      <c r="J939" s="6">
        <f>VLOOKUP($D939,Sheet1!$A$5:$C$192,3,TRUE)</f>
        <v>5</v>
      </c>
      <c r="K939" s="42" t="str">
        <f>VLOOKUP($D939,Sheet1!$A$5:$C$192,2,TRUE)</f>
        <v>|)</v>
      </c>
      <c r="L939" s="6">
        <f>FLOOR(VLOOKUP($D939,Sheet1!$D$5:$F$192,3,TRUE),1)</f>
        <v>11</v>
      </c>
      <c r="M939" s="42" t="str">
        <f>VLOOKUP($D939,Sheet1!$D$5:$F$192,2,TRUE)</f>
        <v>|)</v>
      </c>
      <c r="N939" s="23">
        <f>FLOOR(VLOOKUP($D939,Sheet1!$G$5:$I$192,3,TRUE),1)</f>
        <v>14</v>
      </c>
      <c r="O939" s="42" t="str">
        <f>VLOOKUP($D939,Sheet1!$G$5:$I$192,2,TRUE)</f>
        <v>|)</v>
      </c>
      <c r="P939" s="23">
        <v>1</v>
      </c>
      <c r="Q939" s="43" t="str">
        <f>VLOOKUP($D939,Sheet1!$J$5:$L$192,2,TRUE)</f>
        <v>|).</v>
      </c>
      <c r="R939" s="23">
        <f>FLOOR(VLOOKUP($D939,Sheet1!$M$5:$O$192,3,TRUE),1)</f>
        <v>55</v>
      </c>
      <c r="S939" s="42" t="str">
        <f>VLOOKUP($D939,Sheet1!$M$5:$O$192,2,TRUE)</f>
        <v>|).</v>
      </c>
      <c r="T939" s="117">
        <f>IF(ABS(D939-VLOOKUP($D939,Sheet1!$M$5:$T$192,8,TRUE))&lt;10^-10,"SoCA",D939-VLOOKUP($D939,Sheet1!$M$5:$T$192,8,TRUE))</f>
        <v>-7.9372928511389773E-2</v>
      </c>
      <c r="U939" s="109">
        <f>IF(VLOOKUP($D939,Sheet1!$M$5:$U$192,9,TRUE)=0,"",IF(ABS(D939-VLOOKUP($D939,Sheet1!$M$5:$U$192,9,TRUE))&lt;10^-10,"Alt.",D939-VLOOKUP($D939,Sheet1!$M$5:$U$192,9,TRUE)))</f>
        <v>-0.10633322371382548</v>
      </c>
      <c r="V939" s="132">
        <f>$D939-Sheet1!$M$3*$R939</f>
        <v>-7.3513745757306737E-2</v>
      </c>
      <c r="Z939" s="6"/>
      <c r="AA939" s="61"/>
    </row>
    <row r="940" spans="1:27" ht="13.5">
      <c r="A940" t="s">
        <v>742</v>
      </c>
      <c r="B940">
        <v>4194304</v>
      </c>
      <c r="C940">
        <v>4259571</v>
      </c>
      <c r="D940" s="13">
        <f t="shared" si="19"/>
        <v>26.732048367423872</v>
      </c>
      <c r="E940" s="61">
        <v>17</v>
      </c>
      <c r="F940" s="65">
        <v>170.04397354589102</v>
      </c>
      <c r="G940" s="6">
        <v>638</v>
      </c>
      <c r="H940" s="6">
        <v>587</v>
      </c>
      <c r="I940" s="65">
        <v>-0.64598960813683592</v>
      </c>
      <c r="J940" s="6">
        <f>VLOOKUP($D940,Sheet1!$A$5:$C$192,3,TRUE)</f>
        <v>5</v>
      </c>
      <c r="K940" s="42" t="str">
        <f>VLOOKUP($D940,Sheet1!$A$5:$C$192,2,TRUE)</f>
        <v>|)</v>
      </c>
      <c r="L940" s="6">
        <f>FLOOR(VLOOKUP($D940,Sheet1!$D$5:$F$192,3,TRUE),1)</f>
        <v>11</v>
      </c>
      <c r="M940" s="42" t="str">
        <f>VLOOKUP($D940,Sheet1!$D$5:$F$192,2,TRUE)</f>
        <v>|)</v>
      </c>
      <c r="N940" s="23">
        <f>FLOOR(VLOOKUP($D940,Sheet1!$G$5:$I$192,3,TRUE),1)</f>
        <v>14</v>
      </c>
      <c r="O940" s="42" t="str">
        <f>VLOOKUP($D940,Sheet1!$G$5:$I$192,2,TRUE)</f>
        <v>|)</v>
      </c>
      <c r="P940" s="23">
        <v>1</v>
      </c>
      <c r="Q940" s="43" t="str">
        <f>VLOOKUP($D940,Sheet1!$J$5:$L$192,2,TRUE)</f>
        <v>|).</v>
      </c>
      <c r="R940" s="23">
        <f>FLOOR(VLOOKUP($D940,Sheet1!$M$5:$O$192,3,TRUE),1)</f>
        <v>55</v>
      </c>
      <c r="S940" s="42" t="str">
        <f>VLOOKUP($D940,Sheet1!$M$5:$O$192,2,TRUE)</f>
        <v>|).</v>
      </c>
      <c r="T940" s="117">
        <f>IF(ABS(D940-VLOOKUP($D940,Sheet1!$M$5:$T$192,8,TRUE))&lt;10^-10,"SoCA",D940-VLOOKUP($D940,Sheet1!$M$5:$T$192,8,TRUE))</f>
        <v>-0.10932726672144</v>
      </c>
      <c r="U940" s="109">
        <f>IF(VLOOKUP($D940,Sheet1!$M$5:$U$192,9,TRUE)=0,"",IF(ABS(D940-VLOOKUP($D940,Sheet1!$M$5:$U$192,9,TRUE))&lt;10^-10,"Alt.",D940-VLOOKUP($D940,Sheet1!$M$5:$U$192,9,TRUE)))</f>
        <v>-0.1362875619238757</v>
      </c>
      <c r="V940" s="132">
        <f>$D940-Sheet1!$M$3*$R940</f>
        <v>-0.10346808396735696</v>
      </c>
      <c r="Z940" s="6"/>
      <c r="AA940" s="61"/>
    </row>
    <row r="941" spans="1:27" ht="13.5">
      <c r="A941" s="80" t="s">
        <v>114</v>
      </c>
      <c r="B941" s="80">
        <f>3^2*7</f>
        <v>63</v>
      </c>
      <c r="C941" s="80">
        <f>2^6</f>
        <v>64</v>
      </c>
      <c r="D941" s="51">
        <f t="shared" si="19"/>
        <v>27.264091800100136</v>
      </c>
      <c r="E941" s="61">
        <v>7</v>
      </c>
      <c r="F941" s="65">
        <v>8.5019962434927496</v>
      </c>
      <c r="G941" s="25">
        <v>3</v>
      </c>
      <c r="H941" s="6">
        <v>3</v>
      </c>
      <c r="I941" s="65">
        <v>-3.6787494606264706</v>
      </c>
      <c r="J941" s="81">
        <f>VLOOKUP($D941,Sheet1!$A$5:$C$192,3,TRUE)</f>
        <v>5</v>
      </c>
      <c r="K941" s="82" t="str">
        <f>VLOOKUP($D941,Sheet1!$A$5:$C$192,2,TRUE)</f>
        <v>|)</v>
      </c>
      <c r="L941" s="81">
        <f>FLOOR(VLOOKUP($D941,Sheet1!$D$5:$F$192,3,TRUE),1)</f>
        <v>11</v>
      </c>
      <c r="M941" s="82" t="str">
        <f>VLOOKUP($D941,Sheet1!$D$5:$F$192,2,TRUE)</f>
        <v>|)</v>
      </c>
      <c r="N941" s="81">
        <f>FLOOR(VLOOKUP($D941,Sheet1!$G$5:$I$192,3,TRUE),1)</f>
        <v>14</v>
      </c>
      <c r="O941" s="82" t="str">
        <f>VLOOKUP($D941,Sheet1!$G$5:$I$192,2,TRUE)</f>
        <v>|)</v>
      </c>
      <c r="P941" s="81">
        <v>1</v>
      </c>
      <c r="Q941" s="82" t="str">
        <f>VLOOKUP($D941,Sheet1!$J$5:$L$192,2,TRUE)</f>
        <v>|)</v>
      </c>
      <c r="R941" s="81">
        <f>FLOOR(VLOOKUP($D941,Sheet1!$M$5:$O$192,3,TRUE),1)</f>
        <v>56</v>
      </c>
      <c r="S941" s="82" t="str">
        <f>VLOOKUP($D941,Sheet1!$M$5:$O$192,2,TRUE)</f>
        <v>|)</v>
      </c>
      <c r="T941" s="111" t="str">
        <f>IF(ABS(D941-VLOOKUP($D941,Sheet1!$M$5:$T$192,8,TRUE))&lt;10^-10,"SoCA",D941-VLOOKUP($D941,Sheet1!$M$5:$T$192,8,TRUE))</f>
        <v>SoCA</v>
      </c>
      <c r="U941" s="110" t="str">
        <f>IF(VLOOKUP($D941,Sheet1!$M$5:$U$192,9,TRUE)=0,"",IF(ABS(D941-VLOOKUP($D941,Sheet1!$M$5:$U$192,9,TRUE))&lt;10^-10,"Alt.",D941-VLOOKUP($D941,Sheet1!$M$5:$U$192,9,TRUE)))</f>
        <v/>
      </c>
      <c r="V941" s="135">
        <f>$D941-Sheet1!$M$3*$R941</f>
        <v>-5.9343132225475159E-2</v>
      </c>
      <c r="Z941" s="6"/>
      <c r="AA941" s="61"/>
    </row>
    <row r="942" spans="1:27" ht="13.5">
      <c r="A942" t="s">
        <v>631</v>
      </c>
      <c r="B942">
        <v>83968</v>
      </c>
      <c r="C942">
        <v>85293</v>
      </c>
      <c r="D942" s="13">
        <f t="shared" si="19"/>
        <v>27.105263150709643</v>
      </c>
      <c r="E942" s="61">
        <v>41</v>
      </c>
      <c r="F942" s="65">
        <v>57.741468529071106</v>
      </c>
      <c r="G942" s="6">
        <v>451</v>
      </c>
      <c r="H942" s="6">
        <v>476</v>
      </c>
      <c r="I942" s="65">
        <v>6.3310301979607759</v>
      </c>
      <c r="J942" s="6">
        <f>VLOOKUP($D942,Sheet1!$A$5:$C$192,3,TRUE)</f>
        <v>5</v>
      </c>
      <c r="K942" s="42" t="str">
        <f>VLOOKUP($D942,Sheet1!$A$5:$C$192,2,TRUE)</f>
        <v>|)</v>
      </c>
      <c r="L942" s="6">
        <f>FLOOR(VLOOKUP($D942,Sheet1!$D$5:$F$192,3,TRUE),1)</f>
        <v>11</v>
      </c>
      <c r="M942" s="42" t="str">
        <f>VLOOKUP($D942,Sheet1!$D$5:$F$192,2,TRUE)</f>
        <v>|)</v>
      </c>
      <c r="N942" s="23">
        <f>FLOOR(VLOOKUP($D942,Sheet1!$G$5:$I$192,3,TRUE),1)</f>
        <v>14</v>
      </c>
      <c r="O942" s="42" t="str">
        <f>VLOOKUP($D942,Sheet1!$G$5:$I$192,2,TRUE)</f>
        <v>|)</v>
      </c>
      <c r="P942" s="23">
        <v>1</v>
      </c>
      <c r="Q942" s="43" t="str">
        <f>VLOOKUP($D942,Sheet1!$J$5:$L$192,2,TRUE)</f>
        <v>|)</v>
      </c>
      <c r="R942" s="23">
        <f>FLOOR(VLOOKUP($D942,Sheet1!$M$5:$O$192,3,TRUE),1)</f>
        <v>56</v>
      </c>
      <c r="S942" s="42" t="str">
        <f>VLOOKUP($D942,Sheet1!$M$5:$O$192,2,TRUE)</f>
        <v>|)</v>
      </c>
      <c r="T942" s="117">
        <f>IF(ABS(D942-VLOOKUP($D942,Sheet1!$M$5:$T$192,8,TRUE))&lt;10^-10,"SoCA",D942-VLOOKUP($D942,Sheet1!$M$5:$T$192,8,TRUE))</f>
        <v>-0.15882864939049313</v>
      </c>
      <c r="U942" s="109" t="str">
        <f>IF(VLOOKUP($D942,Sheet1!$M$5:$U$192,9,TRUE)=0,"",IF(ABS(D942-VLOOKUP($D942,Sheet1!$M$5:$U$192,9,TRUE))&lt;10^-10,"Alt.",D942-VLOOKUP($D942,Sheet1!$M$5:$U$192,9,TRUE)))</f>
        <v/>
      </c>
      <c r="V942" s="132">
        <f>$D942-Sheet1!$M$3*$R942</f>
        <v>-0.21817178161596829</v>
      </c>
      <c r="Z942" s="6"/>
      <c r="AA942" s="61"/>
    </row>
    <row r="943" spans="1:27" ht="13.5">
      <c r="A943" t="s">
        <v>1699</v>
      </c>
      <c r="B943">
        <v>10320453</v>
      </c>
      <c r="C943">
        <v>10485760</v>
      </c>
      <c r="D943" s="13">
        <f t="shared" si="19"/>
        <v>27.510160442911442</v>
      </c>
      <c r="E943" s="61">
        <v>13</v>
      </c>
      <c r="F943" s="65">
        <v>67.193615674266212</v>
      </c>
      <c r="G943" s="6">
        <v>1613</v>
      </c>
      <c r="H943" s="6">
        <v>1548</v>
      </c>
      <c r="I943" s="65">
        <v>-9.6939008034412364</v>
      </c>
      <c r="J943" s="6">
        <f>VLOOKUP($D943,Sheet1!$A$5:$C$192,3,TRUE)</f>
        <v>5</v>
      </c>
      <c r="K943" s="42" t="str">
        <f>VLOOKUP($D943,Sheet1!$A$5:$C$192,2,TRUE)</f>
        <v>|)</v>
      </c>
      <c r="L943" s="6">
        <f>FLOOR(VLOOKUP($D943,Sheet1!$D$5:$F$192,3,TRUE),1)</f>
        <v>11</v>
      </c>
      <c r="M943" s="42" t="str">
        <f>VLOOKUP($D943,Sheet1!$D$5:$F$192,2,TRUE)</f>
        <v>|)</v>
      </c>
      <c r="N943" s="23">
        <f>FLOOR(VLOOKUP($D943,Sheet1!$G$5:$I$192,3,TRUE),1)</f>
        <v>14</v>
      </c>
      <c r="O943" s="42" t="str">
        <f>VLOOKUP($D943,Sheet1!$G$5:$I$192,2,TRUE)</f>
        <v>|)</v>
      </c>
      <c r="P943" s="23">
        <v>1</v>
      </c>
      <c r="Q943" s="43" t="str">
        <f>VLOOKUP($D943,Sheet1!$J$5:$L$192,2,TRUE)</f>
        <v>|)</v>
      </c>
      <c r="R943" s="23">
        <f>FLOOR(VLOOKUP($D943,Sheet1!$M$5:$O$192,3,TRUE),1)</f>
        <v>56</v>
      </c>
      <c r="S943" s="42" t="str">
        <f>VLOOKUP($D943,Sheet1!$M$5:$O$192,2,TRUE)</f>
        <v>|)</v>
      </c>
      <c r="T943" s="117">
        <f>IF(ABS(D943-VLOOKUP($D943,Sheet1!$M$5:$T$192,8,TRUE))&lt;10^-10,"SoCA",D943-VLOOKUP($D943,Sheet1!$M$5:$T$192,8,TRUE))</f>
        <v>0.24606864281130569</v>
      </c>
      <c r="U943" s="109" t="str">
        <f>IF(VLOOKUP($D943,Sheet1!$M$5:$U$192,9,TRUE)=0,"",IF(ABS(D943-VLOOKUP($D943,Sheet1!$M$5:$U$192,9,TRUE))&lt;10^-10,"Alt.",D943-VLOOKUP($D943,Sheet1!$M$5:$U$192,9,TRUE)))</f>
        <v/>
      </c>
      <c r="V943" s="132">
        <f>$D943-Sheet1!$M$3*$R943</f>
        <v>0.18672551058583053</v>
      </c>
      <c r="Z943" s="6"/>
      <c r="AA943" s="61"/>
    </row>
    <row r="944" spans="1:27" ht="13.5">
      <c r="A944" s="6" t="s">
        <v>490</v>
      </c>
      <c r="B944" s="6">
        <f>3^7*59</f>
        <v>129033</v>
      </c>
      <c r="C944" s="6">
        <f>2^17</f>
        <v>131072</v>
      </c>
      <c r="D944" s="13">
        <f t="shared" si="19"/>
        <v>27.143334708078601</v>
      </c>
      <c r="E944" s="61" t="s">
        <v>1931</v>
      </c>
      <c r="F944" s="65">
        <v>76.882601257789403</v>
      </c>
      <c r="G944" s="6">
        <v>281</v>
      </c>
      <c r="H944" s="6">
        <v>331</v>
      </c>
      <c r="I944" s="65">
        <v>-8.6713140065286662</v>
      </c>
      <c r="J944" s="6">
        <f>VLOOKUP($D944,Sheet1!$A$5:$C$192,3,TRUE)</f>
        <v>5</v>
      </c>
      <c r="K944" s="42" t="str">
        <f>VLOOKUP($D944,Sheet1!$A$5:$C$192,2,TRUE)</f>
        <v>|)</v>
      </c>
      <c r="L944" s="6">
        <f>FLOOR(VLOOKUP($D944,Sheet1!$D$5:$F$192,3,TRUE),1)</f>
        <v>11</v>
      </c>
      <c r="M944" s="42" t="str">
        <f>VLOOKUP($D944,Sheet1!$D$5:$F$192,2,TRUE)</f>
        <v>|)</v>
      </c>
      <c r="N944" s="23">
        <f>FLOOR(VLOOKUP($D944,Sheet1!$G$5:$I$192,3,TRUE),1)</f>
        <v>14</v>
      </c>
      <c r="O944" s="42" t="str">
        <f>VLOOKUP($D944,Sheet1!$G$5:$I$192,2,TRUE)</f>
        <v>|)</v>
      </c>
      <c r="P944" s="23">
        <v>1</v>
      </c>
      <c r="Q944" s="43" t="str">
        <f>VLOOKUP($D944,Sheet1!$J$5:$L$192,2,TRUE)</f>
        <v>|)</v>
      </c>
      <c r="R944" s="23">
        <f>FLOOR(VLOOKUP($D944,Sheet1!$M$5:$O$192,3,TRUE),1)</f>
        <v>56</v>
      </c>
      <c r="S944" s="42" t="str">
        <f>VLOOKUP($D944,Sheet1!$M$5:$O$192,2,TRUE)</f>
        <v>|)</v>
      </c>
      <c r="T944" s="117">
        <f>IF(ABS(D944-VLOOKUP($D944,Sheet1!$M$5:$T$192,8,TRUE))&lt;10^-10,"SoCA",D944-VLOOKUP($D944,Sheet1!$M$5:$T$192,8,TRUE))</f>
        <v>-0.12075709202153462</v>
      </c>
      <c r="U944" s="109" t="str">
        <f>IF(VLOOKUP($D944,Sheet1!$M$5:$U$192,9,TRUE)=0,"",IF(ABS(D944-VLOOKUP($D944,Sheet1!$M$5:$U$192,9,TRUE))&lt;10^-10,"Alt.",D944-VLOOKUP($D944,Sheet1!$M$5:$U$192,9,TRUE)))</f>
        <v/>
      </c>
      <c r="V944" s="132">
        <f>$D944-Sheet1!$M$3*$R944</f>
        <v>-0.18010022424700978</v>
      </c>
      <c r="Z944" s="6"/>
      <c r="AA944" s="61"/>
    </row>
    <row r="945" spans="1:27" ht="13.5">
      <c r="A945" t="s">
        <v>515</v>
      </c>
      <c r="B945">
        <v>4864</v>
      </c>
      <c r="C945">
        <v>4941</v>
      </c>
      <c r="D945" s="13">
        <f t="shared" si="19"/>
        <v>27.191792404710434</v>
      </c>
      <c r="E945" s="61" t="s">
        <v>1931</v>
      </c>
      <c r="F945" s="65">
        <v>80.255770524281075</v>
      </c>
      <c r="G945" s="6">
        <v>390</v>
      </c>
      <c r="H945" s="6">
        <v>356</v>
      </c>
      <c r="I945" s="65">
        <v>2.3257022765487116</v>
      </c>
      <c r="J945" s="6">
        <f>VLOOKUP($D945,Sheet1!$A$5:$C$192,3,TRUE)</f>
        <v>5</v>
      </c>
      <c r="K945" s="42" t="str">
        <f>VLOOKUP($D945,Sheet1!$A$5:$C$192,2,TRUE)</f>
        <v>|)</v>
      </c>
      <c r="L945" s="6">
        <f>FLOOR(VLOOKUP($D945,Sheet1!$D$5:$F$192,3,TRUE),1)</f>
        <v>11</v>
      </c>
      <c r="M945" s="42" t="str">
        <f>VLOOKUP($D945,Sheet1!$D$5:$F$192,2,TRUE)</f>
        <v>|)</v>
      </c>
      <c r="N945" s="23">
        <f>FLOOR(VLOOKUP($D945,Sheet1!$G$5:$I$192,3,TRUE),1)</f>
        <v>14</v>
      </c>
      <c r="O945" s="42" t="str">
        <f>VLOOKUP($D945,Sheet1!$G$5:$I$192,2,TRUE)</f>
        <v>|)</v>
      </c>
      <c r="P945" s="23">
        <v>1</v>
      </c>
      <c r="Q945" s="43" t="str">
        <f>VLOOKUP($D945,Sheet1!$J$5:$L$192,2,TRUE)</f>
        <v>|)</v>
      </c>
      <c r="R945" s="23">
        <f>FLOOR(VLOOKUP($D945,Sheet1!$M$5:$O$192,3,TRUE),1)</f>
        <v>56</v>
      </c>
      <c r="S945" s="42" t="str">
        <f>VLOOKUP($D945,Sheet1!$M$5:$O$192,2,TRUE)</f>
        <v>|)</v>
      </c>
      <c r="T945" s="117">
        <f>IF(ABS(D945-VLOOKUP($D945,Sheet1!$M$5:$T$192,8,TRUE))&lt;10^-10,"SoCA",D945-VLOOKUP($D945,Sheet1!$M$5:$T$192,8,TRUE))</f>
        <v>-7.2299395389702426E-2</v>
      </c>
      <c r="U945" s="109" t="str">
        <f>IF(VLOOKUP($D945,Sheet1!$M$5:$U$192,9,TRUE)=0,"",IF(ABS(D945-VLOOKUP($D945,Sheet1!$M$5:$U$192,9,TRUE))&lt;10^-10,"Alt.",D945-VLOOKUP($D945,Sheet1!$M$5:$U$192,9,TRUE)))</f>
        <v/>
      </c>
      <c r="V945" s="132">
        <f>$D945-Sheet1!$M$3*$R945</f>
        <v>-0.13164252761517758</v>
      </c>
      <c r="Z945" s="6"/>
      <c r="AA945" s="61"/>
    </row>
    <row r="946" spans="1:27" ht="13.5">
      <c r="A946" s="6" t="s">
        <v>1899</v>
      </c>
      <c r="B946">
        <v>25804413</v>
      </c>
      <c r="C946">
        <v>26214400</v>
      </c>
      <c r="D946" s="13">
        <f t="shared" si="19"/>
        <v>27.290055675077411</v>
      </c>
      <c r="E946" s="61">
        <v>23</v>
      </c>
      <c r="F946" s="65">
        <v>99.443721994755322</v>
      </c>
      <c r="G946" s="59">
        <v>1736</v>
      </c>
      <c r="H946" s="63">
        <v>1000104</v>
      </c>
      <c r="I946" s="65">
        <v>-11.680348151000368</v>
      </c>
      <c r="J946" s="6">
        <f>VLOOKUP($D946,Sheet1!$A$5:$C$192,3,TRUE)</f>
        <v>5</v>
      </c>
      <c r="K946" s="42" t="str">
        <f>VLOOKUP($D946,Sheet1!$A$5:$C$192,2,TRUE)</f>
        <v>|)</v>
      </c>
      <c r="L946" s="6">
        <f>FLOOR(VLOOKUP($D946,Sheet1!$D$5:$F$192,3,TRUE),1)</f>
        <v>11</v>
      </c>
      <c r="M946" s="42" t="str">
        <f>VLOOKUP($D946,Sheet1!$D$5:$F$192,2,TRUE)</f>
        <v>|)</v>
      </c>
      <c r="N946" s="23">
        <f>FLOOR(VLOOKUP($D946,Sheet1!$G$5:$I$192,3,TRUE),1)</f>
        <v>14</v>
      </c>
      <c r="O946" s="42" t="str">
        <f>VLOOKUP($D946,Sheet1!$G$5:$I$192,2,TRUE)</f>
        <v>|)</v>
      </c>
      <c r="P946" s="23">
        <v>1</v>
      </c>
      <c r="Q946" s="43" t="str">
        <f>VLOOKUP($D946,Sheet1!$J$5:$L$192,2,TRUE)</f>
        <v>|)</v>
      </c>
      <c r="R946" s="23">
        <f>FLOOR(VLOOKUP($D946,Sheet1!$M$5:$O$192,3,TRUE),1)</f>
        <v>56</v>
      </c>
      <c r="S946" s="42" t="str">
        <f>VLOOKUP($D946,Sheet1!$M$5:$O$192,2,TRUE)</f>
        <v>|)</v>
      </c>
      <c r="T946" s="117">
        <f>IF(ABS(D946-VLOOKUP($D946,Sheet1!$M$5:$T$192,8,TRUE))&lt;10^-10,"SoCA",D946-VLOOKUP($D946,Sheet1!$M$5:$T$192,8,TRUE))</f>
        <v>2.5963874977275481E-2</v>
      </c>
      <c r="U946" s="109" t="str">
        <f>IF(VLOOKUP($D946,Sheet1!$M$5:$U$192,9,TRUE)=0,"",IF(ABS(D946-VLOOKUP($D946,Sheet1!$M$5:$U$192,9,TRUE))&lt;10^-10,"Alt.",D946-VLOOKUP($D946,Sheet1!$M$5:$U$192,9,TRUE)))</f>
        <v/>
      </c>
      <c r="V946" s="132">
        <f>$D946-Sheet1!$M$3*$R946</f>
        <v>-3.3379257248199679E-2</v>
      </c>
      <c r="Z946" s="6"/>
      <c r="AA946" s="61"/>
    </row>
    <row r="947" spans="1:27" ht="13.5">
      <c r="A947" t="s">
        <v>1195</v>
      </c>
      <c r="B947">
        <v>4563</v>
      </c>
      <c r="C947">
        <v>4636</v>
      </c>
      <c r="D947" s="13">
        <f t="shared" si="19"/>
        <v>27.477495072982659</v>
      </c>
      <c r="E947" s="61" t="s">
        <v>1931</v>
      </c>
      <c r="F947" s="65">
        <v>106.43772429203652</v>
      </c>
      <c r="G947" s="6">
        <v>1101</v>
      </c>
      <c r="H947" s="6">
        <v>1044</v>
      </c>
      <c r="I947" s="65">
        <v>-4.6918894776082993</v>
      </c>
      <c r="J947" s="6">
        <f>VLOOKUP($D947,Sheet1!$A$5:$C$192,3,TRUE)</f>
        <v>5</v>
      </c>
      <c r="K947" s="42" t="str">
        <f>VLOOKUP($D947,Sheet1!$A$5:$C$192,2,TRUE)</f>
        <v>|)</v>
      </c>
      <c r="L947" s="6">
        <f>FLOOR(VLOOKUP($D947,Sheet1!$D$5:$F$192,3,TRUE),1)</f>
        <v>11</v>
      </c>
      <c r="M947" s="42" t="str">
        <f>VLOOKUP($D947,Sheet1!$D$5:$F$192,2,TRUE)</f>
        <v>|)</v>
      </c>
      <c r="N947" s="23">
        <f>FLOOR(VLOOKUP($D947,Sheet1!$G$5:$I$192,3,TRUE),1)</f>
        <v>14</v>
      </c>
      <c r="O947" s="42" t="str">
        <f>VLOOKUP($D947,Sheet1!$G$5:$I$192,2,TRUE)</f>
        <v>|)</v>
      </c>
      <c r="P947" s="23">
        <v>1</v>
      </c>
      <c r="Q947" s="43" t="str">
        <f>VLOOKUP($D947,Sheet1!$J$5:$L$192,2,TRUE)</f>
        <v>|)</v>
      </c>
      <c r="R947" s="23">
        <f>FLOOR(VLOOKUP($D947,Sheet1!$M$5:$O$192,3,TRUE),1)</f>
        <v>56</v>
      </c>
      <c r="S947" s="42" t="str">
        <f>VLOOKUP($D947,Sheet1!$M$5:$O$192,2,TRUE)</f>
        <v>|)</v>
      </c>
      <c r="T947" s="117">
        <f>IF(ABS(D947-VLOOKUP($D947,Sheet1!$M$5:$T$192,8,TRUE))&lt;10^-10,"SoCA",D947-VLOOKUP($D947,Sheet1!$M$5:$T$192,8,TRUE))</f>
        <v>0.21340327288252325</v>
      </c>
      <c r="U947" s="109" t="str">
        <f>IF(VLOOKUP($D947,Sheet1!$M$5:$U$192,9,TRUE)=0,"",IF(ABS(D947-VLOOKUP($D947,Sheet1!$M$5:$U$192,9,TRUE))&lt;10^-10,"Alt.",D947-VLOOKUP($D947,Sheet1!$M$5:$U$192,9,TRUE)))</f>
        <v/>
      </c>
      <c r="V947" s="132">
        <f>$D947-Sheet1!$M$3*$R947</f>
        <v>0.15406014065704809</v>
      </c>
      <c r="Z947" s="6"/>
      <c r="AA947" s="61"/>
    </row>
    <row r="948" spans="1:27" ht="13.5">
      <c r="A948" t="s">
        <v>875</v>
      </c>
      <c r="B948">
        <v>3080192</v>
      </c>
      <c r="C948">
        <v>3129597</v>
      </c>
      <c r="D948" s="13">
        <f t="shared" si="19"/>
        <v>27.5479321165482</v>
      </c>
      <c r="E948" s="61" t="s">
        <v>1931</v>
      </c>
      <c r="F948" s="65">
        <v>117.11821599049428</v>
      </c>
      <c r="G948" s="6">
        <v>598</v>
      </c>
      <c r="H948" s="6">
        <v>722</v>
      </c>
      <c r="I948" s="65">
        <v>8.3037734570032491</v>
      </c>
      <c r="J948" s="6">
        <f>VLOOKUP($D948,Sheet1!$A$5:$C$192,3,TRUE)</f>
        <v>5</v>
      </c>
      <c r="K948" s="42" t="str">
        <f>VLOOKUP($D948,Sheet1!$A$5:$C$192,2,TRUE)</f>
        <v>|)</v>
      </c>
      <c r="L948" s="6">
        <f>FLOOR(VLOOKUP($D948,Sheet1!$D$5:$F$192,3,TRUE),1)</f>
        <v>11</v>
      </c>
      <c r="M948" s="42" t="str">
        <f>VLOOKUP($D948,Sheet1!$D$5:$F$192,2,TRUE)</f>
        <v>|)</v>
      </c>
      <c r="N948" s="23">
        <f>FLOOR(VLOOKUP($D948,Sheet1!$G$5:$I$192,3,TRUE),1)</f>
        <v>14</v>
      </c>
      <c r="O948" s="42" t="str">
        <f>VLOOKUP($D948,Sheet1!$G$5:$I$192,2,TRUE)</f>
        <v>|)</v>
      </c>
      <c r="P948" s="23">
        <v>1</v>
      </c>
      <c r="Q948" s="43" t="str">
        <f>VLOOKUP($D948,Sheet1!$J$5:$L$192,2,TRUE)</f>
        <v>|)</v>
      </c>
      <c r="R948" s="23">
        <f>FLOOR(VLOOKUP($D948,Sheet1!$M$5:$O$192,3,TRUE),1)</f>
        <v>56</v>
      </c>
      <c r="S948" s="42" t="str">
        <f>VLOOKUP($D948,Sheet1!$M$5:$O$192,2,TRUE)</f>
        <v>|)</v>
      </c>
      <c r="T948" s="117">
        <f>IF(ABS(D948-VLOOKUP($D948,Sheet1!$M$5:$T$192,8,TRUE))&lt;10^-10,"SoCA",D948-VLOOKUP($D948,Sheet1!$M$5:$T$192,8,TRUE))</f>
        <v>0.28384031644806385</v>
      </c>
      <c r="U948" s="109" t="str">
        <f>IF(VLOOKUP($D948,Sheet1!$M$5:$U$192,9,TRUE)=0,"",IF(ABS(D948-VLOOKUP($D948,Sheet1!$M$5:$U$192,9,TRUE))&lt;10^-10,"Alt.",D948-VLOOKUP($D948,Sheet1!$M$5:$U$192,9,TRUE)))</f>
        <v/>
      </c>
      <c r="V948" s="132">
        <f>$D948-Sheet1!$M$3*$R948</f>
        <v>0.22449718422258869</v>
      </c>
      <c r="Z948" s="6"/>
      <c r="AA948" s="61"/>
    </row>
    <row r="949" spans="1:27" ht="13.5">
      <c r="A949" t="s">
        <v>1255</v>
      </c>
      <c r="B949">
        <v>105472</v>
      </c>
      <c r="C949">
        <v>107163</v>
      </c>
      <c r="D949" s="13">
        <f t="shared" si="19"/>
        <v>27.536186376099653</v>
      </c>
      <c r="E949" s="61" t="s">
        <v>1931</v>
      </c>
      <c r="F949" s="65">
        <v>142.61135737710541</v>
      </c>
      <c r="G949" s="6">
        <v>1161</v>
      </c>
      <c r="H949" s="6">
        <v>1104</v>
      </c>
      <c r="I949" s="65">
        <v>5.3044966850347279</v>
      </c>
      <c r="J949" s="6">
        <f>VLOOKUP($D949,Sheet1!$A$5:$C$192,3,TRUE)</f>
        <v>5</v>
      </c>
      <c r="K949" s="42" t="str">
        <f>VLOOKUP($D949,Sheet1!$A$5:$C$192,2,TRUE)</f>
        <v>|)</v>
      </c>
      <c r="L949" s="6">
        <f>FLOOR(VLOOKUP($D949,Sheet1!$D$5:$F$192,3,TRUE),1)</f>
        <v>11</v>
      </c>
      <c r="M949" s="42" t="str">
        <f>VLOOKUP($D949,Sheet1!$D$5:$F$192,2,TRUE)</f>
        <v>|)</v>
      </c>
      <c r="N949" s="23">
        <f>FLOOR(VLOOKUP($D949,Sheet1!$G$5:$I$192,3,TRUE),1)</f>
        <v>14</v>
      </c>
      <c r="O949" s="42" t="str">
        <f>VLOOKUP($D949,Sheet1!$G$5:$I$192,2,TRUE)</f>
        <v>|)</v>
      </c>
      <c r="P949" s="23">
        <v>1</v>
      </c>
      <c r="Q949" s="43" t="str">
        <f>VLOOKUP($D949,Sheet1!$J$5:$L$192,2,TRUE)</f>
        <v>|)</v>
      </c>
      <c r="R949" s="23">
        <f>FLOOR(VLOOKUP($D949,Sheet1!$M$5:$O$192,3,TRUE),1)</f>
        <v>56</v>
      </c>
      <c r="S949" s="42" t="str">
        <f>VLOOKUP($D949,Sheet1!$M$5:$O$192,2,TRUE)</f>
        <v>|)</v>
      </c>
      <c r="T949" s="117">
        <f>IF(ABS(D949-VLOOKUP($D949,Sheet1!$M$5:$T$192,8,TRUE))&lt;10^-10,"SoCA",D949-VLOOKUP($D949,Sheet1!$M$5:$T$192,8,TRUE))</f>
        <v>0.27209457599951747</v>
      </c>
      <c r="U949" s="109" t="str">
        <f>IF(VLOOKUP($D949,Sheet1!$M$5:$U$192,9,TRUE)=0,"",IF(ABS(D949-VLOOKUP($D949,Sheet1!$M$5:$U$192,9,TRUE))&lt;10^-10,"Alt.",D949-VLOOKUP($D949,Sheet1!$M$5:$U$192,9,TRUE)))</f>
        <v/>
      </c>
      <c r="V949" s="132">
        <f>$D949-Sheet1!$M$3*$R949</f>
        <v>0.21275144377404231</v>
      </c>
      <c r="Z949" s="6"/>
      <c r="AA949" s="61"/>
    </row>
    <row r="950" spans="1:27" ht="13.5">
      <c r="A950" t="s">
        <v>1661</v>
      </c>
      <c r="B950">
        <v>19005440</v>
      </c>
      <c r="C950">
        <v>19309023</v>
      </c>
      <c r="D950" s="13">
        <f t="shared" si="19"/>
        <v>27.435291233652048</v>
      </c>
      <c r="E950" s="61" t="s">
        <v>1931</v>
      </c>
      <c r="F950" s="65">
        <v>208.48221398182818</v>
      </c>
      <c r="G950" s="6">
        <v>1566</v>
      </c>
      <c r="H950" s="6">
        <v>1510</v>
      </c>
      <c r="I950" s="65">
        <v>9.3107091665362436</v>
      </c>
      <c r="J950" s="6">
        <f>VLOOKUP($D950,Sheet1!$A$5:$C$192,3,TRUE)</f>
        <v>5</v>
      </c>
      <c r="K950" s="42" t="str">
        <f>VLOOKUP($D950,Sheet1!$A$5:$C$192,2,TRUE)</f>
        <v>|)</v>
      </c>
      <c r="L950" s="6">
        <f>FLOOR(VLOOKUP($D950,Sheet1!$D$5:$F$192,3,TRUE),1)</f>
        <v>11</v>
      </c>
      <c r="M950" s="42" t="str">
        <f>VLOOKUP($D950,Sheet1!$D$5:$F$192,2,TRUE)</f>
        <v>|)</v>
      </c>
      <c r="N950" s="23">
        <f>FLOOR(VLOOKUP($D950,Sheet1!$G$5:$I$192,3,TRUE),1)</f>
        <v>14</v>
      </c>
      <c r="O950" s="42" t="str">
        <f>VLOOKUP($D950,Sheet1!$G$5:$I$192,2,TRUE)</f>
        <v>|)</v>
      </c>
      <c r="P950" s="23">
        <v>1</v>
      </c>
      <c r="Q950" s="43" t="str">
        <f>VLOOKUP($D950,Sheet1!$J$5:$L$192,2,TRUE)</f>
        <v>|)</v>
      </c>
      <c r="R950" s="23">
        <f>FLOOR(VLOOKUP($D950,Sheet1!$M$5:$O$192,3,TRUE),1)</f>
        <v>56</v>
      </c>
      <c r="S950" s="42" t="str">
        <f>VLOOKUP($D950,Sheet1!$M$5:$O$192,2,TRUE)</f>
        <v>|)</v>
      </c>
      <c r="T950" s="117">
        <f>IF(ABS(D950-VLOOKUP($D950,Sheet1!$M$5:$T$192,8,TRUE))&lt;10^-10,"SoCA",D950-VLOOKUP($D950,Sheet1!$M$5:$T$192,8,TRUE))</f>
        <v>0.17119943355191225</v>
      </c>
      <c r="U950" s="109" t="str">
        <f>IF(VLOOKUP($D950,Sheet1!$M$5:$U$192,9,TRUE)=0,"",IF(ABS(D950-VLOOKUP($D950,Sheet1!$M$5:$U$192,9,TRUE))&lt;10^-10,"Alt.",D950-VLOOKUP($D950,Sheet1!$M$5:$U$192,9,TRUE)))</f>
        <v/>
      </c>
      <c r="V950" s="132">
        <f>$D950-Sheet1!$M$3*$R950</f>
        <v>0.11185630132643709</v>
      </c>
      <c r="Z950" s="6"/>
      <c r="AA950" s="61"/>
    </row>
    <row r="951" spans="1:27" ht="13.5">
      <c r="A951" s="6" t="s">
        <v>1852</v>
      </c>
      <c r="B951">
        <v>12301875</v>
      </c>
      <c r="C951">
        <v>12498944</v>
      </c>
      <c r="D951" s="13">
        <f t="shared" si="19"/>
        <v>27.513586840243029</v>
      </c>
      <c r="E951" s="61" t="s">
        <v>1931</v>
      </c>
      <c r="F951" s="65">
        <v>590.26059551649246</v>
      </c>
      <c r="G951" s="59">
        <v>1683</v>
      </c>
      <c r="H951" s="63">
        <v>1000057</v>
      </c>
      <c r="I951" s="65">
        <v>-10.694111779207988</v>
      </c>
      <c r="J951" s="6">
        <f>VLOOKUP($D951,Sheet1!$A$5:$C$192,3,TRUE)</f>
        <v>5</v>
      </c>
      <c r="K951" s="42" t="str">
        <f>VLOOKUP($D951,Sheet1!$A$5:$C$192,2,TRUE)</f>
        <v>|)</v>
      </c>
      <c r="L951" s="6">
        <f>FLOOR(VLOOKUP($D951,Sheet1!$D$5:$F$192,3,TRUE),1)</f>
        <v>11</v>
      </c>
      <c r="M951" s="42" t="str">
        <f>VLOOKUP($D951,Sheet1!$D$5:$F$192,2,TRUE)</f>
        <v>|)</v>
      </c>
      <c r="N951" s="23">
        <f>FLOOR(VLOOKUP($D951,Sheet1!$G$5:$I$192,3,TRUE),1)</f>
        <v>14</v>
      </c>
      <c r="O951" s="42" t="str">
        <f>VLOOKUP($D951,Sheet1!$G$5:$I$192,2,TRUE)</f>
        <v>|)</v>
      </c>
      <c r="P951" s="23">
        <v>1</v>
      </c>
      <c r="Q951" s="43" t="str">
        <f>VLOOKUP($D951,Sheet1!$J$5:$L$192,2,TRUE)</f>
        <v>|)</v>
      </c>
      <c r="R951" s="23">
        <f>FLOOR(VLOOKUP($D951,Sheet1!$M$5:$O$192,3,TRUE),1)</f>
        <v>56</v>
      </c>
      <c r="S951" s="42" t="str">
        <f>VLOOKUP($D951,Sheet1!$M$5:$O$192,2,TRUE)</f>
        <v>|)</v>
      </c>
      <c r="T951" s="117">
        <f>IF(ABS(D951-VLOOKUP($D951,Sheet1!$M$5:$T$192,8,TRUE))&lt;10^-10,"SoCA",D951-VLOOKUP($D951,Sheet1!$M$5:$T$192,8,TRUE))</f>
        <v>0.24949504014289303</v>
      </c>
      <c r="U951" s="109" t="str">
        <f>IF(VLOOKUP($D951,Sheet1!$M$5:$U$192,9,TRUE)=0,"",IF(ABS(D951-VLOOKUP($D951,Sheet1!$M$5:$U$192,9,TRUE))&lt;10^-10,"Alt.",D951-VLOOKUP($D951,Sheet1!$M$5:$U$192,9,TRUE)))</f>
        <v/>
      </c>
      <c r="V951" s="132">
        <f>$D951-Sheet1!$M$3*$R951</f>
        <v>0.19015190791741787</v>
      </c>
      <c r="Z951" s="6"/>
      <c r="AA951" s="61"/>
    </row>
    <row r="952" spans="1:27" ht="13.5">
      <c r="A952" s="40" t="s">
        <v>289</v>
      </c>
      <c r="B952" s="40">
        <f>3^3*5^2</f>
        <v>675</v>
      </c>
      <c r="C952" s="40">
        <f>2*7^3</f>
        <v>686</v>
      </c>
      <c r="D952" s="13">
        <f t="shared" si="19"/>
        <v>27.985289081542827</v>
      </c>
      <c r="E952" s="61">
        <v>7</v>
      </c>
      <c r="F952" s="65">
        <v>37.532351319686832</v>
      </c>
      <c r="G952" s="6">
        <v>123</v>
      </c>
      <c r="H952" s="6">
        <v>113</v>
      </c>
      <c r="I952" s="65">
        <v>-4.7231562047096443</v>
      </c>
      <c r="J952" s="6">
        <f>VLOOKUP($D952,Sheet1!$A$5:$C$192,3,TRUE)</f>
        <v>5</v>
      </c>
      <c r="K952" s="42" t="str">
        <f>VLOOKUP($D952,Sheet1!$A$5:$C$192,2,TRUE)</f>
        <v>|)</v>
      </c>
      <c r="L952" s="6">
        <f>FLOOR(VLOOKUP($D952,Sheet1!$D$5:$F$192,3,TRUE),1)</f>
        <v>11</v>
      </c>
      <c r="M952" s="42" t="str">
        <f>VLOOKUP($D952,Sheet1!$D$5:$F$192,2,TRUE)</f>
        <v>|)</v>
      </c>
      <c r="N952" s="23">
        <f>FLOOR(VLOOKUP($D952,Sheet1!$G$5:$I$192,3,TRUE),1)</f>
        <v>14</v>
      </c>
      <c r="O952" s="42" t="str">
        <f>VLOOKUP($D952,Sheet1!$G$5:$I$192,2,TRUE)</f>
        <v>|)</v>
      </c>
      <c r="P952" s="23">
        <v>1</v>
      </c>
      <c r="Q952" s="43" t="str">
        <f>VLOOKUP($D952,Sheet1!$J$5:$L$192,2,TRUE)</f>
        <v>|)'</v>
      </c>
      <c r="R952" s="40">
        <f>FLOOR(VLOOKUP($D952,Sheet1!$M$5:$O$192,3,TRUE),1)</f>
        <v>57</v>
      </c>
      <c r="S952" s="46" t="str">
        <f>VLOOKUP($D952,Sheet1!$M$5:$O$192,2,TRUE)</f>
        <v>.)|)..</v>
      </c>
      <c r="T952" s="115">
        <f>IF(ABS(D952-VLOOKUP($D952,Sheet1!$M$5:$T$192,8,TRUE))&lt;10^-10,"SoCA",D952-VLOOKUP($D952,Sheet1!$M$5:$T$192,8,TRUE))</f>
        <v>0.12942354501360853</v>
      </c>
      <c r="U952" s="115">
        <f>IF(VLOOKUP($D952,Sheet1!$M$5:$U$192,9,TRUE)=0,"",IF(ABS(D952-VLOOKUP($D952,Sheet1!$M$5:$U$192,9,TRUE))&lt;10^-10,"Alt.",D952-VLOOKUP($D952,Sheet1!$M$5:$U$192,9,TRUE)))</f>
        <v>0.11537137761915162</v>
      </c>
      <c r="V952" s="132">
        <f>$D952-Sheet1!$M$3*$R952</f>
        <v>0.17393566828283014</v>
      </c>
      <c r="Z952" s="6"/>
      <c r="AA952" s="61"/>
    </row>
    <row r="953" spans="1:27" ht="13.5">
      <c r="A953" s="6" t="s">
        <v>312</v>
      </c>
      <c r="B953" s="6">
        <f>2*31</f>
        <v>62</v>
      </c>
      <c r="C953" s="6">
        <f>3^2*7</f>
        <v>63</v>
      </c>
      <c r="D953" s="13">
        <f t="shared" si="19"/>
        <v>27.700335735649496</v>
      </c>
      <c r="E953" s="61">
        <v>31</v>
      </c>
      <c r="F953" s="65">
        <v>38.053252414841246</v>
      </c>
      <c r="G953" s="6">
        <v>159</v>
      </c>
      <c r="H953" s="6">
        <v>142</v>
      </c>
      <c r="I953" s="65">
        <v>0.29438941093856852</v>
      </c>
      <c r="J953" s="6">
        <f>VLOOKUP($D953,Sheet1!$A$5:$C$192,3,TRUE)</f>
        <v>5</v>
      </c>
      <c r="K953" s="42" t="str">
        <f>VLOOKUP($D953,Sheet1!$A$5:$C$192,2,TRUE)</f>
        <v>|)</v>
      </c>
      <c r="L953" s="6">
        <f>FLOOR(VLOOKUP($D953,Sheet1!$D$5:$F$192,3,TRUE),1)</f>
        <v>11</v>
      </c>
      <c r="M953" s="42" t="str">
        <f>VLOOKUP($D953,Sheet1!$D$5:$F$192,2,TRUE)</f>
        <v>|)</v>
      </c>
      <c r="N953" s="23">
        <f>FLOOR(VLOOKUP($D953,Sheet1!$G$5:$I$192,3,TRUE),1)</f>
        <v>14</v>
      </c>
      <c r="O953" s="42" t="str">
        <f>VLOOKUP($D953,Sheet1!$G$5:$I$192,2,TRUE)</f>
        <v>|)</v>
      </c>
      <c r="P953" s="23">
        <v>1</v>
      </c>
      <c r="Q953" s="43" t="str">
        <f>VLOOKUP($D953,Sheet1!$J$5:$L$192,2,TRUE)</f>
        <v>|)'</v>
      </c>
      <c r="R953" s="23">
        <f>FLOOR(VLOOKUP($D953,Sheet1!$M$5:$O$192,3,TRUE),1)</f>
        <v>57</v>
      </c>
      <c r="S953" s="42" t="str">
        <f>VLOOKUP($D953,Sheet1!$M$5:$O$192,2,TRUE)</f>
        <v>|)'</v>
      </c>
      <c r="T953" s="117">
        <f>IF(ABS(D953-VLOOKUP($D953,Sheet1!$M$5:$T$192,8,TRUE))&lt;10^-10,"SoCA",D953-VLOOKUP($D953,Sheet1!$M$5:$T$192,8,TRUE))</f>
        <v>1.3527769594535499E-2</v>
      </c>
      <c r="U953" s="109">
        <f>IF(VLOOKUP($D953,Sheet1!$M$5:$U$192,9,TRUE)=0,"",IF(ABS(D953-VLOOKUP($D953,Sheet1!$M$5:$U$192,9,TRUE))&lt;10^-10,"Alt.",D953-VLOOKUP($D953,Sheet1!$M$5:$U$192,9,TRUE)))</f>
        <v>4.0488064796971202E-2</v>
      </c>
      <c r="V953" s="134">
        <f>$D953-Sheet1!$M$3*$R953</f>
        <v>-0.11101767761050141</v>
      </c>
      <c r="Z953" s="6"/>
      <c r="AA953" s="61"/>
    </row>
    <row r="954" spans="1:27" ht="13.5">
      <c r="A954" s="38" t="s">
        <v>1800</v>
      </c>
      <c r="B954" s="38">
        <f>3^9</f>
        <v>19683</v>
      </c>
      <c r="C954" s="38">
        <f>2^5*5^4</f>
        <v>20000</v>
      </c>
      <c r="D954" s="13">
        <f t="shared" si="19"/>
        <v>27.659847670852461</v>
      </c>
      <c r="E954" s="61">
        <v>5</v>
      </c>
      <c r="F954" s="65">
        <v>54.604820193610401</v>
      </c>
      <c r="G954" s="59">
        <v>128</v>
      </c>
      <c r="H954" s="63">
        <v>1000005</v>
      </c>
      <c r="I954" s="65">
        <v>-10.703117591405828</v>
      </c>
      <c r="J954" s="6">
        <f>VLOOKUP($D954,Sheet1!$A$5:$C$192,3,TRUE)</f>
        <v>5</v>
      </c>
      <c r="K954" s="42" t="str">
        <f>VLOOKUP($D954,Sheet1!$A$5:$C$192,2,TRUE)</f>
        <v>|)</v>
      </c>
      <c r="L954" s="6">
        <f>FLOOR(VLOOKUP($D954,Sheet1!$D$5:$F$192,3,TRUE),1)</f>
        <v>11</v>
      </c>
      <c r="M954" s="42" t="str">
        <f>VLOOKUP($D954,Sheet1!$D$5:$F$192,2,TRUE)</f>
        <v>|)</v>
      </c>
      <c r="N954" s="23">
        <f>FLOOR(VLOOKUP($D954,Sheet1!$G$5:$I$192,3,TRUE),1)</f>
        <v>14</v>
      </c>
      <c r="O954" s="42" t="str">
        <f>VLOOKUP($D954,Sheet1!$G$5:$I$192,2,TRUE)</f>
        <v>|)</v>
      </c>
      <c r="P954" s="23">
        <v>1</v>
      </c>
      <c r="Q954" s="45" t="str">
        <f>VLOOKUP($D954,Sheet1!$J$5:$L$192,2,TRUE)</f>
        <v>|)'</v>
      </c>
      <c r="R954" s="38">
        <f>FLOOR(VLOOKUP($D954,Sheet1!$M$5:$O$192,3,TRUE),1)</f>
        <v>57</v>
      </c>
      <c r="S954" s="45" t="str">
        <f>VLOOKUP($D954,Sheet1!$M$5:$O$192,2,TRUE)</f>
        <v>|)'</v>
      </c>
      <c r="T954" s="108">
        <f>IF(ABS(D954-VLOOKUP($D954,Sheet1!$M$5:$T$192,8,TRUE))&lt;10^-10,"SoCA",D954-VLOOKUP($D954,Sheet1!$M$5:$T$192,8,TRUE))</f>
        <v>-2.6960295202499651E-2</v>
      </c>
      <c r="U954" s="112" t="str">
        <f>IF(VLOOKUP($D954,Sheet1!$M$5:$U$192,9,TRUE)=0,"",IF(ABS(D954-VLOOKUP($D954,Sheet1!$M$5:$U$192,9,TRUE))&lt;10^-10,"Alt.",D954-VLOOKUP($D954,Sheet1!$M$5:$U$192,9,TRUE)))</f>
        <v>Alt.</v>
      </c>
      <c r="V954" s="133">
        <f>$D954-Sheet1!$M$3*$R954</f>
        <v>-0.15150574240753656</v>
      </c>
      <c r="Z954" s="6"/>
      <c r="AA954" s="61"/>
    </row>
    <row r="955" spans="1:27" ht="13.5">
      <c r="A955" s="6" t="s">
        <v>352</v>
      </c>
      <c r="B955" s="18">
        <f>2^26</f>
        <v>67108864</v>
      </c>
      <c r="C955" s="18">
        <f>3^11*5*7*11</f>
        <v>68201595</v>
      </c>
      <c r="D955" s="13">
        <f t="shared" si="19"/>
        <v>27.96257221797805</v>
      </c>
      <c r="E955" s="61">
        <v>11</v>
      </c>
      <c r="F955" s="65">
        <v>60.529213447735415</v>
      </c>
      <c r="G955" s="6">
        <v>144</v>
      </c>
      <c r="H955" s="6">
        <v>187</v>
      </c>
      <c r="I955" s="65">
        <v>9.2782425553420786</v>
      </c>
      <c r="J955" s="6">
        <f>VLOOKUP($D955,Sheet1!$A$5:$C$192,3,TRUE)</f>
        <v>5</v>
      </c>
      <c r="K955" s="42" t="str">
        <f>VLOOKUP($D955,Sheet1!$A$5:$C$192,2,TRUE)</f>
        <v>|)</v>
      </c>
      <c r="L955" s="6">
        <f>FLOOR(VLOOKUP($D955,Sheet1!$D$5:$F$192,3,TRUE),1)</f>
        <v>11</v>
      </c>
      <c r="M955" s="42" t="str">
        <f>VLOOKUP($D955,Sheet1!$D$5:$F$192,2,TRUE)</f>
        <v>|)</v>
      </c>
      <c r="N955" s="23">
        <f>FLOOR(VLOOKUP($D955,Sheet1!$G$5:$I$192,3,TRUE),1)</f>
        <v>14</v>
      </c>
      <c r="O955" s="42" t="str">
        <f>VLOOKUP($D955,Sheet1!$G$5:$I$192,2,TRUE)</f>
        <v>|)</v>
      </c>
      <c r="P955" s="23">
        <v>1</v>
      </c>
      <c r="Q955" s="43" t="str">
        <f>VLOOKUP($D955,Sheet1!$J$5:$L$192,2,TRUE)</f>
        <v>|)'</v>
      </c>
      <c r="R955" s="23">
        <f>FLOOR(VLOOKUP($D955,Sheet1!$M$5:$O$192,3,TRUE),1)</f>
        <v>57</v>
      </c>
      <c r="S955" s="42" t="str">
        <f>VLOOKUP($D955,Sheet1!$M$5:$O$192,2,TRUE)</f>
        <v>.)|)..</v>
      </c>
      <c r="T955" s="117">
        <f>IF(ABS(D955-VLOOKUP($D955,Sheet1!$M$5:$T$192,8,TRUE))&lt;10^-10,"SoCA",D955-VLOOKUP($D955,Sheet1!$M$5:$T$192,8,TRUE))</f>
        <v>0.10670668144883066</v>
      </c>
      <c r="U955" s="109">
        <f>IF(VLOOKUP($D955,Sheet1!$M$5:$U$192,9,TRUE)=0,"",IF(ABS(D955-VLOOKUP($D955,Sheet1!$M$5:$U$192,9,TRUE))&lt;10^-10,"Alt.",D955-VLOOKUP($D955,Sheet1!$M$5:$U$192,9,TRUE)))</f>
        <v>9.2654514054373749E-2</v>
      </c>
      <c r="V955" s="132">
        <f>$D955-Sheet1!$M$3*$R955</f>
        <v>0.15121880471805227</v>
      </c>
      <c r="Z955" s="6"/>
      <c r="AA955" s="61"/>
    </row>
    <row r="956" spans="1:27" ht="13.5">
      <c r="A956" s="6" t="s">
        <v>402</v>
      </c>
      <c r="B956" s="6">
        <f>2^7*11</f>
        <v>1408</v>
      </c>
      <c r="C956" s="6">
        <f>3^3*53</f>
        <v>1431</v>
      </c>
      <c r="D956" s="13">
        <f t="shared" si="19"/>
        <v>28.051605707244597</v>
      </c>
      <c r="E956" s="61" t="s">
        <v>1931</v>
      </c>
      <c r="F956" s="65">
        <v>64.120540785764163</v>
      </c>
      <c r="G956" s="6">
        <v>265</v>
      </c>
      <c r="H956" s="6">
        <v>239</v>
      </c>
      <c r="I956" s="65">
        <v>1.2727604390412763</v>
      </c>
      <c r="J956" s="6">
        <f>VLOOKUP($D956,Sheet1!$A$5:$C$192,3,TRUE)</f>
        <v>5</v>
      </c>
      <c r="K956" s="42" t="str">
        <f>VLOOKUP($D956,Sheet1!$A$5:$C$192,2,TRUE)</f>
        <v>|)</v>
      </c>
      <c r="L956" s="6">
        <f>FLOOR(VLOOKUP($D956,Sheet1!$D$5:$F$192,3,TRUE),1)</f>
        <v>11</v>
      </c>
      <c r="M956" s="42" t="str">
        <f>VLOOKUP($D956,Sheet1!$D$5:$F$192,2,TRUE)</f>
        <v>|)</v>
      </c>
      <c r="N956" s="23">
        <f>FLOOR(VLOOKUP($D956,Sheet1!$G$5:$I$192,3,TRUE),1)</f>
        <v>14</v>
      </c>
      <c r="O956" s="42" t="str">
        <f>VLOOKUP($D956,Sheet1!$G$5:$I$192,2,TRUE)</f>
        <v>|)</v>
      </c>
      <c r="P956" s="23">
        <v>1</v>
      </c>
      <c r="Q956" s="43" t="str">
        <f>VLOOKUP($D956,Sheet1!$J$5:$L$192,2,TRUE)</f>
        <v>|)'</v>
      </c>
      <c r="R956" s="23">
        <f>FLOOR(VLOOKUP($D956,Sheet1!$M$5:$O$192,3,TRUE),1)</f>
        <v>57</v>
      </c>
      <c r="S956" s="42" t="str">
        <f>VLOOKUP($D956,Sheet1!$M$5:$O$192,2,TRUE)</f>
        <v>.)|)..</v>
      </c>
      <c r="T956" s="117">
        <f>IF(ABS(D956-VLOOKUP($D956,Sheet1!$M$5:$T$192,8,TRUE))&lt;10^-10,"SoCA",D956-VLOOKUP($D956,Sheet1!$M$5:$T$192,8,TRUE))</f>
        <v>0.19574017071537853</v>
      </c>
      <c r="U956" s="109">
        <f>IF(VLOOKUP($D956,Sheet1!$M$5:$U$192,9,TRUE)=0,"",IF(ABS(D956-VLOOKUP($D956,Sheet1!$M$5:$U$192,9,TRUE))&lt;10^-10,"Alt.",D956-VLOOKUP($D956,Sheet1!$M$5:$U$192,9,TRUE)))</f>
        <v>0.18168800332092161</v>
      </c>
      <c r="V956" s="132">
        <f>$D956-Sheet1!$M$3*$R956</f>
        <v>0.24025229398460013</v>
      </c>
      <c r="Z956" s="6"/>
      <c r="AA956" s="61"/>
    </row>
    <row r="957" spans="1:27" ht="13.5">
      <c r="A957" t="s">
        <v>681</v>
      </c>
      <c r="B957">
        <v>34263</v>
      </c>
      <c r="C957">
        <v>34816</v>
      </c>
      <c r="D957" s="13">
        <f t="shared" si="19"/>
        <v>27.718782294918014</v>
      </c>
      <c r="E957" s="61">
        <v>47</v>
      </c>
      <c r="F957" s="65">
        <v>67.158237015739118</v>
      </c>
      <c r="G957" s="6">
        <v>475</v>
      </c>
      <c r="H957" s="6">
        <v>526</v>
      </c>
      <c r="I957" s="65">
        <v>-7.7067464109200685</v>
      </c>
      <c r="J957" s="6">
        <f>VLOOKUP($D957,Sheet1!$A$5:$C$192,3,TRUE)</f>
        <v>5</v>
      </c>
      <c r="K957" s="42" t="str">
        <f>VLOOKUP($D957,Sheet1!$A$5:$C$192,2,TRUE)</f>
        <v>|)</v>
      </c>
      <c r="L957" s="6">
        <f>FLOOR(VLOOKUP($D957,Sheet1!$D$5:$F$192,3,TRUE),1)</f>
        <v>11</v>
      </c>
      <c r="M957" s="42" t="str">
        <f>VLOOKUP($D957,Sheet1!$D$5:$F$192,2,TRUE)</f>
        <v>|)</v>
      </c>
      <c r="N957" s="23">
        <f>FLOOR(VLOOKUP($D957,Sheet1!$G$5:$I$192,3,TRUE),1)</f>
        <v>14</v>
      </c>
      <c r="O957" s="42" t="str">
        <f>VLOOKUP($D957,Sheet1!$G$5:$I$192,2,TRUE)</f>
        <v>|)</v>
      </c>
      <c r="P957" s="23">
        <v>1</v>
      </c>
      <c r="Q957" s="43" t="str">
        <f>VLOOKUP($D957,Sheet1!$J$5:$L$192,2,TRUE)</f>
        <v>|)'</v>
      </c>
      <c r="R957" s="23">
        <f>FLOOR(VLOOKUP($D957,Sheet1!$M$5:$O$192,3,TRUE),1)</f>
        <v>57</v>
      </c>
      <c r="S957" s="42" t="str">
        <f>VLOOKUP($D957,Sheet1!$M$5:$O$192,2,TRUE)</f>
        <v>|)'</v>
      </c>
      <c r="T957" s="117">
        <f>IF(ABS(D957-VLOOKUP($D957,Sheet1!$M$5:$T$192,8,TRUE))&lt;10^-10,"SoCA",D957-VLOOKUP($D957,Sheet1!$M$5:$T$192,8,TRUE))</f>
        <v>3.1974328863054069E-2</v>
      </c>
      <c r="U957" s="109">
        <f>IF(VLOOKUP($D957,Sheet1!$M$5:$U$192,9,TRUE)=0,"",IF(ABS(D957-VLOOKUP($D957,Sheet1!$M$5:$U$192,9,TRUE))&lt;10^-10,"Alt.",D957-VLOOKUP($D957,Sheet1!$M$5:$U$192,9,TRUE)))</f>
        <v>5.8934624065489771E-2</v>
      </c>
      <c r="V957" s="132">
        <f>$D957-Sheet1!$M$3*$R957</f>
        <v>-9.2571118341982839E-2</v>
      </c>
      <c r="Z957" s="6"/>
      <c r="AA957" s="61"/>
    </row>
    <row r="958" spans="1:27" ht="13.5">
      <c r="A958" t="s">
        <v>1403</v>
      </c>
      <c r="B958">
        <v>76545</v>
      </c>
      <c r="C958">
        <v>77792</v>
      </c>
      <c r="D958" s="13">
        <f t="shared" si="19"/>
        <v>27.9763872428029</v>
      </c>
      <c r="E958" s="61">
        <v>17</v>
      </c>
      <c r="F958" s="65">
        <v>69.692727223342871</v>
      </c>
      <c r="G958" s="6">
        <v>1177</v>
      </c>
      <c r="H958" s="6">
        <v>1252</v>
      </c>
      <c r="I958" s="65">
        <v>-8.7226080860672628</v>
      </c>
      <c r="J958" s="6">
        <f>VLOOKUP($D958,Sheet1!$A$5:$C$192,3,TRUE)</f>
        <v>5</v>
      </c>
      <c r="K958" s="42" t="str">
        <f>VLOOKUP($D958,Sheet1!$A$5:$C$192,2,TRUE)</f>
        <v>|)</v>
      </c>
      <c r="L958" s="6">
        <f>FLOOR(VLOOKUP($D958,Sheet1!$D$5:$F$192,3,TRUE),1)</f>
        <v>11</v>
      </c>
      <c r="M958" s="42" t="str">
        <f>VLOOKUP($D958,Sheet1!$D$5:$F$192,2,TRUE)</f>
        <v>|)</v>
      </c>
      <c r="N958" s="23">
        <f>FLOOR(VLOOKUP($D958,Sheet1!$G$5:$I$192,3,TRUE),1)</f>
        <v>14</v>
      </c>
      <c r="O958" s="42" t="str">
        <f>VLOOKUP($D958,Sheet1!$G$5:$I$192,2,TRUE)</f>
        <v>|)</v>
      </c>
      <c r="P958" s="23">
        <v>1</v>
      </c>
      <c r="Q958" s="43" t="str">
        <f>VLOOKUP($D958,Sheet1!$J$5:$L$192,2,TRUE)</f>
        <v>|)'</v>
      </c>
      <c r="R958" s="23">
        <f>FLOOR(VLOOKUP($D958,Sheet1!$M$5:$O$192,3,TRUE),1)</f>
        <v>57</v>
      </c>
      <c r="S958" s="42" t="str">
        <f>VLOOKUP($D958,Sheet1!$M$5:$O$192,2,TRUE)</f>
        <v>.)|)..</v>
      </c>
      <c r="T958" s="117">
        <f>IF(ABS(D958-VLOOKUP($D958,Sheet1!$M$5:$T$192,8,TRUE))&lt;10^-10,"SoCA",D958-VLOOKUP($D958,Sheet1!$M$5:$T$192,8,TRUE))</f>
        <v>0.12052170627368142</v>
      </c>
      <c r="U958" s="109">
        <f>IF(VLOOKUP($D958,Sheet1!$M$5:$U$192,9,TRUE)=0,"",IF(ABS(D958-VLOOKUP($D958,Sheet1!$M$5:$U$192,9,TRUE))&lt;10^-10,"Alt.",D958-VLOOKUP($D958,Sheet1!$M$5:$U$192,9,TRUE)))</f>
        <v>0.1064695388792245</v>
      </c>
      <c r="V958" s="132">
        <f>$D958-Sheet1!$M$3*$R958</f>
        <v>0.16503382954290302</v>
      </c>
      <c r="Z958" s="6"/>
      <c r="AA958" s="61"/>
    </row>
    <row r="959" spans="1:27" ht="13.5">
      <c r="A959" t="s">
        <v>1001</v>
      </c>
      <c r="B959">
        <v>123</v>
      </c>
      <c r="C959">
        <v>125</v>
      </c>
      <c r="D959" s="13">
        <f t="shared" si="19"/>
        <v>27.923735187416757</v>
      </c>
      <c r="E959" s="61">
        <v>41</v>
      </c>
      <c r="F959" s="65">
        <v>78.496294378449292</v>
      </c>
      <c r="G959" s="6">
        <v>914</v>
      </c>
      <c r="H959" s="6">
        <v>849</v>
      </c>
      <c r="I959" s="65">
        <v>-2.7193661071952562</v>
      </c>
      <c r="J959" s="6">
        <f>VLOOKUP($D959,Sheet1!$A$5:$C$192,3,TRUE)</f>
        <v>5</v>
      </c>
      <c r="K959" s="42" t="str">
        <f>VLOOKUP($D959,Sheet1!$A$5:$C$192,2,TRUE)</f>
        <v>|)</v>
      </c>
      <c r="L959" s="6">
        <f>FLOOR(VLOOKUP($D959,Sheet1!$D$5:$F$192,3,TRUE),1)</f>
        <v>11</v>
      </c>
      <c r="M959" s="42" t="str">
        <f>VLOOKUP($D959,Sheet1!$D$5:$F$192,2,TRUE)</f>
        <v>|)</v>
      </c>
      <c r="N959" s="23">
        <f>FLOOR(VLOOKUP($D959,Sheet1!$G$5:$I$192,3,TRUE),1)</f>
        <v>14</v>
      </c>
      <c r="O959" s="42" t="str">
        <f>VLOOKUP($D959,Sheet1!$G$5:$I$192,2,TRUE)</f>
        <v>|)</v>
      </c>
      <c r="P959" s="23">
        <v>1</v>
      </c>
      <c r="Q959" s="43" t="str">
        <f>VLOOKUP($D959,Sheet1!$J$5:$L$192,2,TRUE)</f>
        <v>|)'</v>
      </c>
      <c r="R959" s="23">
        <f>FLOOR(VLOOKUP($D959,Sheet1!$M$5:$O$192,3,TRUE),1)</f>
        <v>57</v>
      </c>
      <c r="S959" s="42" t="str">
        <f>VLOOKUP($D959,Sheet1!$M$5:$O$192,2,TRUE)</f>
        <v>.)|)..</v>
      </c>
      <c r="T959" s="117">
        <f>IF(ABS(D959-VLOOKUP($D959,Sheet1!$M$5:$T$192,8,TRUE))&lt;10^-10,"SoCA",D959-VLOOKUP($D959,Sheet1!$M$5:$T$192,8,TRUE))</f>
        <v>6.7869650887537603E-2</v>
      </c>
      <c r="U959" s="109">
        <f>IF(VLOOKUP($D959,Sheet1!$M$5:$U$192,9,TRUE)=0,"",IF(ABS(D959-VLOOKUP($D959,Sheet1!$M$5:$U$192,9,TRUE))&lt;10^-10,"Alt.",D959-VLOOKUP($D959,Sheet1!$M$5:$U$192,9,TRUE)))</f>
        <v>5.3817483493080687E-2</v>
      </c>
      <c r="V959" s="132">
        <f>$D959-Sheet1!$M$3*$R959</f>
        <v>0.11238177415675921</v>
      </c>
      <c r="Z959" s="6"/>
      <c r="AA959" s="61"/>
    </row>
    <row r="960" spans="1:27" ht="13.5">
      <c r="A960" s="6" t="s">
        <v>960</v>
      </c>
      <c r="B960" s="6">
        <f>5^6</f>
        <v>15625</v>
      </c>
      <c r="C960" s="6">
        <f>2^2*3^4*7^2</f>
        <v>15876</v>
      </c>
      <c r="D960" s="13">
        <f t="shared" si="19"/>
        <v>27.589533210790762</v>
      </c>
      <c r="E960" s="61">
        <v>7</v>
      </c>
      <c r="F960" s="65">
        <v>79.421325940047311</v>
      </c>
      <c r="G960" s="6">
        <v>871</v>
      </c>
      <c r="H960" s="6">
        <v>808</v>
      </c>
      <c r="I960" s="65">
        <v>2.3012119260696968</v>
      </c>
      <c r="J960" s="6">
        <f>VLOOKUP($D960,Sheet1!$A$5:$C$192,3,TRUE)</f>
        <v>5</v>
      </c>
      <c r="K960" s="42" t="str">
        <f>VLOOKUP($D960,Sheet1!$A$5:$C$192,2,TRUE)</f>
        <v>|)</v>
      </c>
      <c r="L960" s="6">
        <f>FLOOR(VLOOKUP($D960,Sheet1!$D$5:$F$192,3,TRUE),1)</f>
        <v>11</v>
      </c>
      <c r="M960" s="42" t="str">
        <f>VLOOKUP($D960,Sheet1!$D$5:$F$192,2,TRUE)</f>
        <v>|)</v>
      </c>
      <c r="N960" s="23">
        <f>FLOOR(VLOOKUP($D960,Sheet1!$G$5:$I$192,3,TRUE),1)</f>
        <v>14</v>
      </c>
      <c r="O960" s="42" t="str">
        <f>VLOOKUP($D960,Sheet1!$G$5:$I$192,2,TRUE)</f>
        <v>|)</v>
      </c>
      <c r="P960" s="23">
        <v>1</v>
      </c>
      <c r="Q960" s="43" t="str">
        <f>VLOOKUP($D960,Sheet1!$J$5:$L$192,2,TRUE)</f>
        <v>|)'</v>
      </c>
      <c r="R960" s="23">
        <f>FLOOR(VLOOKUP($D960,Sheet1!$M$5:$O$192,3,TRUE),1)</f>
        <v>57</v>
      </c>
      <c r="S960" s="42" t="str">
        <f>VLOOKUP($D960,Sheet1!$M$5:$O$192,2,TRUE)</f>
        <v>|)'</v>
      </c>
      <c r="T960" s="117">
        <f>IF(ABS(D960-VLOOKUP($D960,Sheet1!$M$5:$T$192,8,TRUE))&lt;10^-10,"SoCA",D960-VLOOKUP($D960,Sheet1!$M$5:$T$192,8,TRUE))</f>
        <v>-9.7274755264198376E-2</v>
      </c>
      <c r="U960" s="109">
        <f>IF(VLOOKUP($D960,Sheet1!$M$5:$U$192,9,TRUE)=0,"",IF(ABS(D960-VLOOKUP($D960,Sheet1!$M$5:$U$192,9,TRUE))&lt;10^-10,"Alt.",D960-VLOOKUP($D960,Sheet1!$M$5:$U$192,9,TRUE)))</f>
        <v>-7.0314460061762674E-2</v>
      </c>
      <c r="V960" s="132">
        <f>$D960-Sheet1!$M$3*$R960</f>
        <v>-0.22182020246923528</v>
      </c>
      <c r="Z960" s="6"/>
      <c r="AA960" s="61"/>
    </row>
    <row r="961" spans="1:27" ht="13.5">
      <c r="A961" t="s">
        <v>468</v>
      </c>
      <c r="B961">
        <v>126976</v>
      </c>
      <c r="C961">
        <v>129033</v>
      </c>
      <c r="D961" s="13">
        <f t="shared" si="19"/>
        <v>27.821092827671055</v>
      </c>
      <c r="E961" s="61" t="s">
        <v>1931</v>
      </c>
      <c r="F961" s="65">
        <v>92.086319864864421</v>
      </c>
      <c r="G961" s="6">
        <v>326</v>
      </c>
      <c r="H961" s="6">
        <v>306</v>
      </c>
      <c r="I961" s="65">
        <v>5.2869539568407626</v>
      </c>
      <c r="J961" s="6">
        <f>VLOOKUP($D961,Sheet1!$A$5:$C$192,3,TRUE)</f>
        <v>5</v>
      </c>
      <c r="K961" s="42" t="str">
        <f>VLOOKUP($D961,Sheet1!$A$5:$C$192,2,TRUE)</f>
        <v>|)</v>
      </c>
      <c r="L961" s="6">
        <f>FLOOR(VLOOKUP($D961,Sheet1!$D$5:$F$192,3,TRUE),1)</f>
        <v>11</v>
      </c>
      <c r="M961" s="42" t="str">
        <f>VLOOKUP($D961,Sheet1!$D$5:$F$192,2,TRUE)</f>
        <v>|)</v>
      </c>
      <c r="N961" s="23">
        <f>FLOOR(VLOOKUP($D961,Sheet1!$G$5:$I$192,3,TRUE),1)</f>
        <v>14</v>
      </c>
      <c r="O961" s="42" t="str">
        <f>VLOOKUP($D961,Sheet1!$G$5:$I$192,2,TRUE)</f>
        <v>|)</v>
      </c>
      <c r="P961" s="23">
        <v>1</v>
      </c>
      <c r="Q961" s="43" t="str">
        <f>VLOOKUP($D961,Sheet1!$J$5:$L$192,2,TRUE)</f>
        <v>|)'</v>
      </c>
      <c r="R961" s="23">
        <f>FLOOR(VLOOKUP($D961,Sheet1!$M$5:$O$192,3,TRUE),1)</f>
        <v>57</v>
      </c>
      <c r="S961" s="42" t="str">
        <f>VLOOKUP($D961,Sheet1!$M$5:$O$192,2,TRUE)</f>
        <v>|)'</v>
      </c>
      <c r="T961" s="117">
        <f>IF(ABS(D961-VLOOKUP($D961,Sheet1!$M$5:$T$192,8,TRUE))&lt;10^-10,"SoCA",D961-VLOOKUP($D961,Sheet1!$M$5:$T$192,8,TRUE))</f>
        <v>0.13428486161609499</v>
      </c>
      <c r="U961" s="109">
        <f>IF(VLOOKUP($D961,Sheet1!$M$5:$U$192,9,TRUE)=0,"",IF(ABS(D961-VLOOKUP($D961,Sheet1!$M$5:$U$192,9,TRUE))&lt;10^-10,"Alt.",D961-VLOOKUP($D961,Sheet1!$M$5:$U$192,9,TRUE)))</f>
        <v>0.16124515681853069</v>
      </c>
      <c r="V961" s="132">
        <f>$D961-Sheet1!$M$3*$R961</f>
        <v>9.7394144110580783E-3</v>
      </c>
      <c r="Z961" s="6"/>
      <c r="AA961" s="61"/>
    </row>
    <row r="962" spans="1:27" ht="13.5">
      <c r="A962" s="6" t="s">
        <v>1831</v>
      </c>
      <c r="B962">
        <v>1515591</v>
      </c>
      <c r="C962">
        <v>1540096</v>
      </c>
      <c r="D962" s="13">
        <f t="shared" si="19"/>
        <v>27.767765390796374</v>
      </c>
      <c r="E962" s="61">
        <v>47</v>
      </c>
      <c r="F962" s="65">
        <v>103.39720380480458</v>
      </c>
      <c r="G962" s="59">
        <v>1590</v>
      </c>
      <c r="H962" s="63">
        <v>1000036</v>
      </c>
      <c r="I962" s="65">
        <v>-10.709762478588434</v>
      </c>
      <c r="J962" s="6">
        <f>VLOOKUP($D962,Sheet1!$A$5:$C$192,3,TRUE)</f>
        <v>5</v>
      </c>
      <c r="K962" s="42" t="str">
        <f>VLOOKUP($D962,Sheet1!$A$5:$C$192,2,TRUE)</f>
        <v>|)</v>
      </c>
      <c r="L962" s="6">
        <f>FLOOR(VLOOKUP($D962,Sheet1!$D$5:$F$192,3,TRUE),1)</f>
        <v>11</v>
      </c>
      <c r="M962" s="42" t="str">
        <f>VLOOKUP($D962,Sheet1!$D$5:$F$192,2,TRUE)</f>
        <v>|)</v>
      </c>
      <c r="N962" s="23">
        <f>FLOOR(VLOOKUP($D962,Sheet1!$G$5:$I$192,3,TRUE),1)</f>
        <v>14</v>
      </c>
      <c r="O962" s="42" t="str">
        <f>VLOOKUP($D962,Sheet1!$G$5:$I$192,2,TRUE)</f>
        <v>|)</v>
      </c>
      <c r="P962" s="23">
        <v>1</v>
      </c>
      <c r="Q962" s="43" t="str">
        <f>VLOOKUP($D962,Sheet1!$J$5:$L$192,2,TRUE)</f>
        <v>|)'</v>
      </c>
      <c r="R962" s="23">
        <f>FLOOR(VLOOKUP($D962,Sheet1!$M$5:$O$192,3,TRUE),1)</f>
        <v>57</v>
      </c>
      <c r="S962" s="42" t="str">
        <f>VLOOKUP($D962,Sheet1!$M$5:$O$192,2,TRUE)</f>
        <v>|)'</v>
      </c>
      <c r="T962" s="117">
        <f>IF(ABS(D962-VLOOKUP($D962,Sheet1!$M$5:$T$192,8,TRUE))&lt;10^-10,"SoCA",D962-VLOOKUP($D962,Sheet1!$M$5:$T$192,8,TRUE))</f>
        <v>8.095742474141332E-2</v>
      </c>
      <c r="U962" s="109">
        <f>IF(VLOOKUP($D962,Sheet1!$M$5:$U$192,9,TRUE)=0,"",IF(ABS(D962-VLOOKUP($D962,Sheet1!$M$5:$U$192,9,TRUE))&lt;10^-10,"Alt.",D962-VLOOKUP($D962,Sheet1!$M$5:$U$192,9,TRUE)))</f>
        <v>0.10791771994384902</v>
      </c>
      <c r="V962" s="132">
        <f>$D962-Sheet1!$M$3*$R962</f>
        <v>-4.3588022463623588E-2</v>
      </c>
      <c r="Z962" s="6"/>
      <c r="AA962" s="61"/>
    </row>
    <row r="963" spans="1:27" ht="13.5">
      <c r="A963" t="s">
        <v>1704</v>
      </c>
      <c r="B963">
        <v>1056655611</v>
      </c>
      <c r="C963">
        <v>1073741824</v>
      </c>
      <c r="D963" s="13">
        <f t="shared" si="19"/>
        <v>27.770281253117169</v>
      </c>
      <c r="E963" s="61">
        <v>11</v>
      </c>
      <c r="F963" s="65">
        <v>122.21143266967739</v>
      </c>
      <c r="G963" s="6">
        <v>1616</v>
      </c>
      <c r="H963" s="6">
        <v>1553</v>
      </c>
      <c r="I963" s="65">
        <v>-9.7099173893973099</v>
      </c>
      <c r="J963" s="6">
        <f>VLOOKUP($D963,Sheet1!$A$5:$C$192,3,TRUE)</f>
        <v>5</v>
      </c>
      <c r="K963" s="42" t="str">
        <f>VLOOKUP($D963,Sheet1!$A$5:$C$192,2,TRUE)</f>
        <v>|)</v>
      </c>
      <c r="L963" s="6">
        <f>FLOOR(VLOOKUP($D963,Sheet1!$D$5:$F$192,3,TRUE),1)</f>
        <v>11</v>
      </c>
      <c r="M963" s="42" t="str">
        <f>VLOOKUP($D963,Sheet1!$D$5:$F$192,2,TRUE)</f>
        <v>|)</v>
      </c>
      <c r="N963" s="23">
        <f>FLOOR(VLOOKUP($D963,Sheet1!$G$5:$I$192,3,TRUE),1)</f>
        <v>14</v>
      </c>
      <c r="O963" s="42" t="str">
        <f>VLOOKUP($D963,Sheet1!$G$5:$I$192,2,TRUE)</f>
        <v>|)</v>
      </c>
      <c r="P963" s="23">
        <v>1</v>
      </c>
      <c r="Q963" s="43" t="str">
        <f>VLOOKUP($D963,Sheet1!$J$5:$L$192,2,TRUE)</f>
        <v>|)'</v>
      </c>
      <c r="R963" s="23">
        <f>FLOOR(VLOOKUP($D963,Sheet1!$M$5:$O$192,3,TRUE),1)</f>
        <v>57</v>
      </c>
      <c r="S963" s="42" t="str">
        <f>VLOOKUP($D963,Sheet1!$M$5:$O$192,2,TRUE)</f>
        <v>|)'</v>
      </c>
      <c r="T963" s="117">
        <f>IF(ABS(D963-VLOOKUP($D963,Sheet1!$M$5:$T$192,8,TRUE))&lt;10^-10,"SoCA",D963-VLOOKUP($D963,Sheet1!$M$5:$T$192,8,TRUE))</f>
        <v>8.3473287062208357E-2</v>
      </c>
      <c r="U963" s="109">
        <f>IF(VLOOKUP($D963,Sheet1!$M$5:$U$192,9,TRUE)=0,"",IF(ABS(D963-VLOOKUP($D963,Sheet1!$M$5:$U$192,9,TRUE))&lt;10^-10,"Alt.",D963-VLOOKUP($D963,Sheet1!$M$5:$U$192,9,TRUE)))</f>
        <v>0.11043358226464406</v>
      </c>
      <c r="V963" s="132">
        <f>$D963-Sheet1!$M$3*$R963</f>
        <v>-4.1072160142828551E-2</v>
      </c>
      <c r="Z963" s="6"/>
      <c r="AA963" s="61"/>
    </row>
    <row r="964" spans="1:27" ht="13.5">
      <c r="A964" s="6" t="s">
        <v>1878</v>
      </c>
      <c r="B964">
        <v>4192479</v>
      </c>
      <c r="C964">
        <v>4259840</v>
      </c>
      <c r="D964" s="13">
        <f t="shared" ref="D964:D1027" si="20">1200*LN($C964/$B964)/LN(2)</f>
        <v>27.594823574652629</v>
      </c>
      <c r="E964" s="61" t="s">
        <v>1931</v>
      </c>
      <c r="F964" s="65">
        <v>160.98611779014522</v>
      </c>
      <c r="G964" s="59">
        <v>1714</v>
      </c>
      <c r="H964" s="63">
        <v>1000083</v>
      </c>
      <c r="I964" s="65">
        <v>-11.699113820907124</v>
      </c>
      <c r="J964" s="6">
        <f>VLOOKUP($D964,Sheet1!$A$5:$C$192,3,TRUE)</f>
        <v>5</v>
      </c>
      <c r="K964" s="42" t="str">
        <f>VLOOKUP($D964,Sheet1!$A$5:$C$192,2,TRUE)</f>
        <v>|)</v>
      </c>
      <c r="L964" s="6">
        <f>FLOOR(VLOOKUP($D964,Sheet1!$D$5:$F$192,3,TRUE),1)</f>
        <v>11</v>
      </c>
      <c r="M964" s="42" t="str">
        <f>VLOOKUP($D964,Sheet1!$D$5:$F$192,2,TRUE)</f>
        <v>|)</v>
      </c>
      <c r="N964" s="23">
        <f>FLOOR(VLOOKUP($D964,Sheet1!$G$5:$I$192,3,TRUE),1)</f>
        <v>14</v>
      </c>
      <c r="O964" s="42" t="str">
        <f>VLOOKUP($D964,Sheet1!$G$5:$I$192,2,TRUE)</f>
        <v>|)</v>
      </c>
      <c r="P964" s="23">
        <v>1</v>
      </c>
      <c r="Q964" s="43" t="str">
        <f>VLOOKUP($D964,Sheet1!$J$5:$L$192,2,TRUE)</f>
        <v>|)'</v>
      </c>
      <c r="R964" s="23">
        <f>FLOOR(VLOOKUP($D964,Sheet1!$M$5:$O$192,3,TRUE),1)</f>
        <v>57</v>
      </c>
      <c r="S964" s="42" t="str">
        <f>VLOOKUP($D964,Sheet1!$M$5:$O$192,2,TRUE)</f>
        <v>|)'</v>
      </c>
      <c r="T964" s="117">
        <f>IF(ABS(D964-VLOOKUP($D964,Sheet1!$M$5:$T$192,8,TRUE))&lt;10^-10,"SoCA",D964-VLOOKUP($D964,Sheet1!$M$5:$T$192,8,TRUE))</f>
        <v>-9.1984391402331056E-2</v>
      </c>
      <c r="U964" s="109">
        <f>IF(VLOOKUP($D964,Sheet1!$M$5:$U$192,9,TRUE)=0,"",IF(ABS(D964-VLOOKUP($D964,Sheet1!$M$5:$U$192,9,TRUE))&lt;10^-10,"Alt.",D964-VLOOKUP($D964,Sheet1!$M$5:$U$192,9,TRUE)))</f>
        <v>-6.5024096199895354E-2</v>
      </c>
      <c r="V964" s="132">
        <f>$D964-Sheet1!$M$3*$R964</f>
        <v>-0.21652983860736796</v>
      </c>
      <c r="Z964" s="6"/>
      <c r="AA964" s="61"/>
    </row>
    <row r="965" spans="1:27" ht="13.5">
      <c r="A965" t="s">
        <v>1658</v>
      </c>
      <c r="B965">
        <v>17179869184</v>
      </c>
      <c r="C965">
        <v>17457659703</v>
      </c>
      <c r="D965" s="13">
        <f t="shared" si="20"/>
        <v>27.769343349083137</v>
      </c>
      <c r="E965" s="61">
        <v>31</v>
      </c>
      <c r="F965" s="65">
        <v>168.9790737468291</v>
      </c>
      <c r="G965" s="6">
        <v>1562</v>
      </c>
      <c r="H965" s="6">
        <v>1507</v>
      </c>
      <c r="I965" s="65">
        <v>9.2901403607710353</v>
      </c>
      <c r="J965" s="6">
        <f>VLOOKUP($D965,Sheet1!$A$5:$C$192,3,TRUE)</f>
        <v>5</v>
      </c>
      <c r="K965" s="42" t="str">
        <f>VLOOKUP($D965,Sheet1!$A$5:$C$192,2,TRUE)</f>
        <v>|)</v>
      </c>
      <c r="L965" s="6">
        <f>FLOOR(VLOOKUP($D965,Sheet1!$D$5:$F$192,3,TRUE),1)</f>
        <v>11</v>
      </c>
      <c r="M965" s="42" t="str">
        <f>VLOOKUP($D965,Sheet1!$D$5:$F$192,2,TRUE)</f>
        <v>|)</v>
      </c>
      <c r="N965" s="23">
        <f>FLOOR(VLOOKUP($D965,Sheet1!$G$5:$I$192,3,TRUE),1)</f>
        <v>14</v>
      </c>
      <c r="O965" s="42" t="str">
        <f>VLOOKUP($D965,Sheet1!$G$5:$I$192,2,TRUE)</f>
        <v>|)</v>
      </c>
      <c r="P965" s="23">
        <v>1</v>
      </c>
      <c r="Q965" s="43" t="str">
        <f>VLOOKUP($D965,Sheet1!$J$5:$L$192,2,TRUE)</f>
        <v>|)'</v>
      </c>
      <c r="R965" s="23">
        <f>FLOOR(VLOOKUP($D965,Sheet1!$M$5:$O$192,3,TRUE),1)</f>
        <v>57</v>
      </c>
      <c r="S965" s="42" t="str">
        <f>VLOOKUP($D965,Sheet1!$M$5:$O$192,2,TRUE)</f>
        <v>|)'</v>
      </c>
      <c r="T965" s="117">
        <f>IF(ABS(D965-VLOOKUP($D965,Sheet1!$M$5:$T$192,8,TRUE))&lt;10^-10,"SoCA",D965-VLOOKUP($D965,Sheet1!$M$5:$T$192,8,TRUE))</f>
        <v>8.2535383028176312E-2</v>
      </c>
      <c r="U965" s="109">
        <f>IF(VLOOKUP($D965,Sheet1!$M$5:$U$192,9,TRUE)=0,"",IF(ABS(D965-VLOOKUP($D965,Sheet1!$M$5:$U$192,9,TRUE))&lt;10^-10,"Alt.",D965-VLOOKUP($D965,Sheet1!$M$5:$U$192,9,TRUE)))</f>
        <v>0.10949567823061201</v>
      </c>
      <c r="V965" s="132">
        <f>$D965-Sheet1!$M$3*$R965</f>
        <v>-4.2010064176860595E-2</v>
      </c>
      <c r="Z965" s="6"/>
      <c r="AA965" s="61"/>
    </row>
    <row r="966" spans="1:27" ht="13.5">
      <c r="A966" s="6" t="s">
        <v>1853</v>
      </c>
      <c r="B966">
        <v>12301875</v>
      </c>
      <c r="C966">
        <v>12500992</v>
      </c>
      <c r="D966" s="13">
        <f t="shared" si="20"/>
        <v>27.797232953610688</v>
      </c>
      <c r="E966" s="61" t="s">
        <v>1931</v>
      </c>
      <c r="F966" s="65">
        <v>220.19030500142847</v>
      </c>
      <c r="G966" s="59">
        <v>1684</v>
      </c>
      <c r="H966" s="63">
        <v>1000058</v>
      </c>
      <c r="I966" s="65">
        <v>-10.711576903787087</v>
      </c>
      <c r="J966" s="6">
        <f>VLOOKUP($D966,Sheet1!$A$5:$C$192,3,TRUE)</f>
        <v>5</v>
      </c>
      <c r="K966" s="42" t="str">
        <f>VLOOKUP($D966,Sheet1!$A$5:$C$192,2,TRUE)</f>
        <v>|)</v>
      </c>
      <c r="L966" s="6">
        <f>FLOOR(VLOOKUP($D966,Sheet1!$D$5:$F$192,3,TRUE),1)</f>
        <v>11</v>
      </c>
      <c r="M966" s="42" t="str">
        <f>VLOOKUP($D966,Sheet1!$D$5:$F$192,2,TRUE)</f>
        <v>|)</v>
      </c>
      <c r="N966" s="23">
        <f>FLOOR(VLOOKUP($D966,Sheet1!$G$5:$I$192,3,TRUE),1)</f>
        <v>14</v>
      </c>
      <c r="O966" s="42" t="str">
        <f>VLOOKUP($D966,Sheet1!$G$5:$I$192,2,TRUE)</f>
        <v>|)</v>
      </c>
      <c r="P966" s="23">
        <v>1</v>
      </c>
      <c r="Q966" s="43" t="str">
        <f>VLOOKUP($D966,Sheet1!$J$5:$L$192,2,TRUE)</f>
        <v>|)'</v>
      </c>
      <c r="R966" s="23">
        <f>FLOOR(VLOOKUP($D966,Sheet1!$M$5:$O$192,3,TRUE),1)</f>
        <v>57</v>
      </c>
      <c r="S966" s="42" t="str">
        <f>VLOOKUP($D966,Sheet1!$M$5:$O$192,2,TRUE)</f>
        <v>|)'</v>
      </c>
      <c r="T966" s="117">
        <f>IF(ABS(D966-VLOOKUP($D966,Sheet1!$M$5:$T$192,8,TRUE))&lt;10^-10,"SoCA",D966-VLOOKUP($D966,Sheet1!$M$5:$T$192,8,TRUE))</f>
        <v>0.11042498755572794</v>
      </c>
      <c r="U966" s="109">
        <f>IF(VLOOKUP($D966,Sheet1!$M$5:$U$192,9,TRUE)=0,"",IF(ABS(D966-VLOOKUP($D966,Sheet1!$M$5:$U$192,9,TRUE))&lt;10^-10,"Alt.",D966-VLOOKUP($D966,Sheet1!$M$5:$U$192,9,TRUE)))</f>
        <v>0.13738528275816364</v>
      </c>
      <c r="V966" s="132">
        <f>$D966-Sheet1!$M$3*$R966</f>
        <v>-1.412045964930897E-2</v>
      </c>
      <c r="Z966" s="6"/>
      <c r="AA966" s="61"/>
    </row>
    <row r="967" spans="1:27" ht="13.5">
      <c r="A967" t="s">
        <v>1546</v>
      </c>
      <c r="B967">
        <v>6914048</v>
      </c>
      <c r="C967">
        <v>7026831</v>
      </c>
      <c r="D967" s="13">
        <f t="shared" si="20"/>
        <v>28.012298174784206</v>
      </c>
      <c r="E967" s="61" t="s">
        <v>1931</v>
      </c>
      <c r="F967" s="65">
        <v>302.14504085219158</v>
      </c>
      <c r="G967" s="6">
        <v>1449</v>
      </c>
      <c r="H967" s="6">
        <v>1395</v>
      </c>
      <c r="I967" s="65">
        <v>8.2751807470200003</v>
      </c>
      <c r="J967" s="6">
        <f>VLOOKUP($D967,Sheet1!$A$5:$C$192,3,TRUE)</f>
        <v>5</v>
      </c>
      <c r="K967" s="42" t="str">
        <f>VLOOKUP($D967,Sheet1!$A$5:$C$192,2,TRUE)</f>
        <v>|)</v>
      </c>
      <c r="L967" s="6">
        <f>FLOOR(VLOOKUP($D967,Sheet1!$D$5:$F$192,3,TRUE),1)</f>
        <v>11</v>
      </c>
      <c r="M967" s="42" t="str">
        <f>VLOOKUP($D967,Sheet1!$D$5:$F$192,2,TRUE)</f>
        <v>|)</v>
      </c>
      <c r="N967" s="23">
        <f>FLOOR(VLOOKUP($D967,Sheet1!$G$5:$I$192,3,TRUE),1)</f>
        <v>14</v>
      </c>
      <c r="O967" s="42" t="str">
        <f>VLOOKUP($D967,Sheet1!$G$5:$I$192,2,TRUE)</f>
        <v>|)</v>
      </c>
      <c r="P967" s="23">
        <v>1</v>
      </c>
      <c r="Q967" s="43" t="str">
        <f>VLOOKUP($D967,Sheet1!$J$5:$L$192,2,TRUE)</f>
        <v>|)'</v>
      </c>
      <c r="R967" s="23">
        <f>FLOOR(VLOOKUP($D967,Sheet1!$M$5:$O$192,3,TRUE),1)</f>
        <v>57</v>
      </c>
      <c r="S967" s="42" t="str">
        <f>VLOOKUP($D967,Sheet1!$M$5:$O$192,2,TRUE)</f>
        <v>.)|)..</v>
      </c>
      <c r="T967" s="117">
        <f>IF(ABS(D967-VLOOKUP($D967,Sheet1!$M$5:$T$192,8,TRUE))&lt;10^-10,"SoCA",D967-VLOOKUP($D967,Sheet1!$M$5:$T$192,8,TRUE))</f>
        <v>0.15643263825498721</v>
      </c>
      <c r="U967" s="109">
        <f>IF(VLOOKUP($D967,Sheet1!$M$5:$U$192,9,TRUE)=0,"",IF(ABS(D967-VLOOKUP($D967,Sheet1!$M$5:$U$192,9,TRUE))&lt;10^-10,"Alt.",D967-VLOOKUP($D967,Sheet1!$M$5:$U$192,9,TRUE)))</f>
        <v>0.14238047086053029</v>
      </c>
      <c r="V967" s="132">
        <f>$D967-Sheet1!$M$3*$R967</f>
        <v>0.20094476152420881</v>
      </c>
      <c r="Z967" s="6"/>
      <c r="AA967" s="61"/>
    </row>
    <row r="968" spans="1:27" ht="13.5">
      <c r="A968" t="s">
        <v>550</v>
      </c>
      <c r="B968">
        <v>60272</v>
      </c>
      <c r="C968">
        <v>61245</v>
      </c>
      <c r="D968" s="13">
        <f t="shared" si="20"/>
        <v>27.724955863532163</v>
      </c>
      <c r="E968" s="61" t="s">
        <v>1931</v>
      </c>
      <c r="F968" s="65">
        <v>6159.7233078323352</v>
      </c>
      <c r="G968" s="6">
        <v>441</v>
      </c>
      <c r="H968" s="6">
        <v>394</v>
      </c>
      <c r="I968" s="65">
        <v>0.29287345996882319</v>
      </c>
      <c r="J968" s="6">
        <f>VLOOKUP($D968,Sheet1!$A$5:$C$192,3,TRUE)</f>
        <v>5</v>
      </c>
      <c r="K968" s="42" t="str">
        <f>VLOOKUP($D968,Sheet1!$A$5:$C$192,2,TRUE)</f>
        <v>|)</v>
      </c>
      <c r="L968" s="6">
        <f>FLOOR(VLOOKUP($D968,Sheet1!$D$5:$F$192,3,TRUE),1)</f>
        <v>11</v>
      </c>
      <c r="M968" s="42" t="str">
        <f>VLOOKUP($D968,Sheet1!$D$5:$F$192,2,TRUE)</f>
        <v>|)</v>
      </c>
      <c r="N968" s="23">
        <f>FLOOR(VLOOKUP($D968,Sheet1!$G$5:$I$192,3,TRUE),1)</f>
        <v>14</v>
      </c>
      <c r="O968" s="42" t="str">
        <f>VLOOKUP($D968,Sheet1!$G$5:$I$192,2,TRUE)</f>
        <v>|)</v>
      </c>
      <c r="P968" s="23">
        <v>1</v>
      </c>
      <c r="Q968" s="43" t="str">
        <f>VLOOKUP($D968,Sheet1!$J$5:$L$192,2,TRUE)</f>
        <v>|)'</v>
      </c>
      <c r="R968" s="23">
        <f>FLOOR(VLOOKUP($D968,Sheet1!$M$5:$O$192,3,TRUE),1)</f>
        <v>57</v>
      </c>
      <c r="S968" s="42" t="str">
        <f>VLOOKUP($D968,Sheet1!$M$5:$O$192,2,TRUE)</f>
        <v>|)'</v>
      </c>
      <c r="T968" s="117">
        <f>IF(ABS(D968-VLOOKUP($D968,Sheet1!$M$5:$T$192,8,TRUE))&lt;10^-10,"SoCA",D968-VLOOKUP($D968,Sheet1!$M$5:$T$192,8,TRUE))</f>
        <v>3.8147897477202264E-2</v>
      </c>
      <c r="U968" s="109">
        <f>IF(VLOOKUP($D968,Sheet1!$M$5:$U$192,9,TRUE)=0,"",IF(ABS(D968-VLOOKUP($D968,Sheet1!$M$5:$U$192,9,TRUE))&lt;10^-10,"Alt.",D968-VLOOKUP($D968,Sheet1!$M$5:$U$192,9,TRUE)))</f>
        <v>6.5108192679637966E-2</v>
      </c>
      <c r="V968" s="132">
        <f>$D968-Sheet1!$M$3*$R968</f>
        <v>-8.6397549727834644E-2</v>
      </c>
      <c r="Z968" s="6"/>
      <c r="AA968" s="61"/>
    </row>
    <row r="969" spans="1:27" ht="13.5">
      <c r="A969" t="s">
        <v>959</v>
      </c>
      <c r="B969">
        <v>209715200</v>
      </c>
      <c r="C969">
        <v>213112539</v>
      </c>
      <c r="D969" s="13">
        <f t="shared" si="20"/>
        <v>27.820859340640339</v>
      </c>
      <c r="E969" s="61" t="s">
        <v>1931</v>
      </c>
      <c r="F969" s="65">
        <v>3157235.6525913128</v>
      </c>
      <c r="G969" s="6">
        <v>869</v>
      </c>
      <c r="H969" s="6">
        <v>807</v>
      </c>
      <c r="I969" s="65">
        <v>2.286968333487883</v>
      </c>
      <c r="J969" s="6">
        <f>VLOOKUP($D969,Sheet1!$A$5:$C$192,3,TRUE)</f>
        <v>5</v>
      </c>
      <c r="K969" s="42" t="str">
        <f>VLOOKUP($D969,Sheet1!$A$5:$C$192,2,TRUE)</f>
        <v>|)</v>
      </c>
      <c r="L969" s="6">
        <f>FLOOR(VLOOKUP($D969,Sheet1!$D$5:$F$192,3,TRUE),1)</f>
        <v>11</v>
      </c>
      <c r="M969" s="42" t="str">
        <f>VLOOKUP($D969,Sheet1!$D$5:$F$192,2,TRUE)</f>
        <v>|)</v>
      </c>
      <c r="N969" s="23">
        <f>FLOOR(VLOOKUP($D969,Sheet1!$G$5:$I$192,3,TRUE),1)</f>
        <v>14</v>
      </c>
      <c r="O969" s="42" t="str">
        <f>VLOOKUP($D969,Sheet1!$G$5:$I$192,2,TRUE)</f>
        <v>|)</v>
      </c>
      <c r="P969" s="23">
        <v>1</v>
      </c>
      <c r="Q969" s="43" t="str">
        <f>VLOOKUP($D969,Sheet1!$J$5:$L$192,2,TRUE)</f>
        <v>|)'</v>
      </c>
      <c r="R969" s="23">
        <f>FLOOR(VLOOKUP($D969,Sheet1!$M$5:$O$192,3,TRUE),1)</f>
        <v>57</v>
      </c>
      <c r="S969" s="42" t="str">
        <f>VLOOKUP($D969,Sheet1!$M$5:$O$192,2,TRUE)</f>
        <v>|)'</v>
      </c>
      <c r="T969" s="117">
        <f>IF(ABS(D969-VLOOKUP($D969,Sheet1!$M$5:$T$192,8,TRUE))&lt;10^-10,"SoCA",D969-VLOOKUP($D969,Sheet1!$M$5:$T$192,8,TRUE))</f>
        <v>0.13405137458537908</v>
      </c>
      <c r="U969" s="109">
        <f>IF(VLOOKUP($D969,Sheet1!$M$5:$U$192,9,TRUE)=0,"",IF(ABS(D969-VLOOKUP($D969,Sheet1!$M$5:$U$192,9,TRUE))&lt;10^-10,"Alt.",D969-VLOOKUP($D969,Sheet1!$M$5:$U$192,9,TRUE)))</f>
        <v>0.16101166978781478</v>
      </c>
      <c r="V969" s="132">
        <f>$D969-Sheet1!$M$3*$R969</f>
        <v>9.5059273803421718E-3</v>
      </c>
      <c r="Z969" s="6"/>
      <c r="AA969" s="61"/>
    </row>
    <row r="970" spans="1:27" ht="13.5">
      <c r="A970" t="s">
        <v>1754</v>
      </c>
      <c r="B970">
        <v>4376382930944</v>
      </c>
      <c r="C970">
        <v>4447495274427</v>
      </c>
      <c r="D970" s="13">
        <f t="shared" si="20"/>
        <v>27.904912763323669</v>
      </c>
      <c r="E970" s="61" t="s">
        <v>1931</v>
      </c>
      <c r="F970" s="65">
        <v>9412394.8842973076</v>
      </c>
      <c r="G970" s="6">
        <v>1663</v>
      </c>
      <c r="H970" s="6">
        <v>1603</v>
      </c>
      <c r="I970" s="65">
        <v>10.281792858029979</v>
      </c>
      <c r="J970" s="6">
        <f>VLOOKUP($D970,Sheet1!$A$5:$C$192,3,TRUE)</f>
        <v>5</v>
      </c>
      <c r="K970" s="42" t="str">
        <f>VLOOKUP($D970,Sheet1!$A$5:$C$192,2,TRUE)</f>
        <v>|)</v>
      </c>
      <c r="L970" s="6">
        <f>FLOOR(VLOOKUP($D970,Sheet1!$D$5:$F$192,3,TRUE),1)</f>
        <v>11</v>
      </c>
      <c r="M970" s="42" t="str">
        <f>VLOOKUP($D970,Sheet1!$D$5:$F$192,2,TRUE)</f>
        <v>|)</v>
      </c>
      <c r="N970" s="23">
        <f>FLOOR(VLOOKUP($D970,Sheet1!$G$5:$I$192,3,TRUE),1)</f>
        <v>14</v>
      </c>
      <c r="O970" s="42" t="str">
        <f>VLOOKUP($D970,Sheet1!$G$5:$I$192,2,TRUE)</f>
        <v>|)</v>
      </c>
      <c r="P970" s="23">
        <v>1</v>
      </c>
      <c r="Q970" s="43" t="str">
        <f>VLOOKUP($D970,Sheet1!$J$5:$L$192,2,TRUE)</f>
        <v>|)'</v>
      </c>
      <c r="R970" s="23">
        <f>FLOOR(VLOOKUP($D970,Sheet1!$M$5:$O$192,3,TRUE),1)</f>
        <v>57</v>
      </c>
      <c r="S970" s="42" t="str">
        <f>VLOOKUP($D970,Sheet1!$M$5:$O$192,2,TRUE)</f>
        <v>.)|)..</v>
      </c>
      <c r="T970" s="117">
        <f>IF(ABS(D970-VLOOKUP($D970,Sheet1!$M$5:$T$192,8,TRUE))&lt;10^-10,"SoCA",D970-VLOOKUP($D970,Sheet1!$M$5:$T$192,8,TRUE))</f>
        <v>4.9047226794449728E-2</v>
      </c>
      <c r="U970" s="109">
        <f>IF(VLOOKUP($D970,Sheet1!$M$5:$U$192,9,TRUE)=0,"",IF(ABS(D970-VLOOKUP($D970,Sheet1!$M$5:$U$192,9,TRUE))&lt;10^-10,"Alt.",D970-VLOOKUP($D970,Sheet1!$M$5:$U$192,9,TRUE)))</f>
        <v>3.4995059399992812E-2</v>
      </c>
      <c r="V970" s="132">
        <f>$D970-Sheet1!$M$3*$R970</f>
        <v>9.3559350063671332E-2</v>
      </c>
      <c r="Z970" s="6"/>
      <c r="AA970" s="61"/>
    </row>
    <row r="971" spans="1:27" ht="13.5">
      <c r="A971" s="87" t="s">
        <v>117</v>
      </c>
      <c r="B971" s="87">
        <f>2^14*13</f>
        <v>212992</v>
      </c>
      <c r="C971" s="87">
        <f>3^9*11</f>
        <v>216513</v>
      </c>
      <c r="D971" s="13">
        <f t="shared" si="20"/>
        <v>28.385288383932725</v>
      </c>
      <c r="E971" s="61">
        <v>13</v>
      </c>
      <c r="F971" s="65">
        <v>29.979609364079675</v>
      </c>
      <c r="G971" s="6">
        <v>70</v>
      </c>
      <c r="H971" s="6">
        <v>72</v>
      </c>
      <c r="I971" s="65">
        <v>7.2522143809654107</v>
      </c>
      <c r="J971" s="6">
        <f>VLOOKUP($D971,Sheet1!$A$5:$C$192,3,TRUE)</f>
        <v>5</v>
      </c>
      <c r="K971" s="42" t="str">
        <f>VLOOKUP($D971,Sheet1!$A$5:$C$192,2,TRUE)</f>
        <v>|)</v>
      </c>
      <c r="L971" s="6">
        <f>FLOOR(VLOOKUP($D971,Sheet1!$D$5:$F$192,3,TRUE),1)</f>
        <v>11</v>
      </c>
      <c r="M971" s="42" t="str">
        <f>VLOOKUP($D971,Sheet1!$D$5:$F$192,2,TRUE)</f>
        <v>|)</v>
      </c>
      <c r="N971" s="23">
        <f>FLOOR(VLOOKUP($D971,Sheet1!$G$5:$I$192,3,TRUE),1)</f>
        <v>14</v>
      </c>
      <c r="O971" s="42" t="str">
        <f>VLOOKUP($D971,Sheet1!$G$5:$I$192,2,TRUE)</f>
        <v>|)</v>
      </c>
      <c r="P971" s="23">
        <v>1</v>
      </c>
      <c r="Q971" s="45" t="str">
        <f>VLOOKUP($D971,Sheet1!$J$5:$L$192,2,TRUE)</f>
        <v>|)''</v>
      </c>
      <c r="R971" s="38">
        <f>FLOOR(VLOOKUP($D971,Sheet1!$M$5:$O$192,3,TRUE),1)</f>
        <v>58</v>
      </c>
      <c r="S971" s="45" t="str">
        <f>VLOOKUP($D971,Sheet1!$M$5:$O$192,2,TRUE)</f>
        <v>|)''</v>
      </c>
      <c r="T971" s="128">
        <f>IF(ABS(D971-VLOOKUP($D971,Sheet1!$M$5:$T$192,8,TRUE))&lt;10^-10,"SoCA",D971-VLOOKUP($D971,Sheet1!$M$5:$T$192,8,TRUE))</f>
        <v>0.2886723797309898</v>
      </c>
      <c r="U971" s="128">
        <f>IF(VLOOKUP($D971,Sheet1!$M$5:$U$192,9,TRUE)=0,"",IF(ABS(D971-VLOOKUP($D971,Sheet1!$M$5:$U$192,9,TRUE))&lt;10^-10,"Alt.",D971-VLOOKUP($D971,Sheet1!$M$5:$U$192,9,TRUE)))</f>
        <v>0.30272454712544672</v>
      </c>
      <c r="V971" s="133">
        <f>$D971-Sheet1!$M$3*$R971</f>
        <v>8.6016489738341306E-2</v>
      </c>
      <c r="Z971" s="6"/>
      <c r="AA971" s="61"/>
    </row>
    <row r="972" spans="1:27" ht="13.5">
      <c r="A972" s="6" t="s">
        <v>591</v>
      </c>
      <c r="B972" s="6">
        <f>5^2*17</f>
        <v>425</v>
      </c>
      <c r="C972" s="6">
        <f>2^4*3^3</f>
        <v>432</v>
      </c>
      <c r="D972" s="13">
        <f t="shared" si="20"/>
        <v>28.282165366085152</v>
      </c>
      <c r="E972" s="61">
        <v>17</v>
      </c>
      <c r="F972" s="65">
        <v>43.296660596127019</v>
      </c>
      <c r="G972" s="6">
        <v>472</v>
      </c>
      <c r="H972" s="6">
        <v>436</v>
      </c>
      <c r="I972" s="65">
        <v>1.2585640408718946</v>
      </c>
      <c r="J972" s="6">
        <f>VLOOKUP($D972,Sheet1!$A$5:$C$192,3,TRUE)</f>
        <v>5</v>
      </c>
      <c r="K972" s="42" t="str">
        <f>VLOOKUP($D972,Sheet1!$A$5:$C$192,2,TRUE)</f>
        <v>|)</v>
      </c>
      <c r="L972" s="6">
        <f>FLOOR(VLOOKUP($D972,Sheet1!$D$5:$F$192,3,TRUE),1)</f>
        <v>11</v>
      </c>
      <c r="M972" s="42" t="str">
        <f>VLOOKUP($D972,Sheet1!$D$5:$F$192,2,TRUE)</f>
        <v>|)</v>
      </c>
      <c r="N972" s="23">
        <f>FLOOR(VLOOKUP($D972,Sheet1!$G$5:$I$192,3,TRUE),1)</f>
        <v>14</v>
      </c>
      <c r="O972" s="42" t="str">
        <f>VLOOKUP($D972,Sheet1!$G$5:$I$192,2,TRUE)</f>
        <v>|)</v>
      </c>
      <c r="P972" s="23">
        <v>1</v>
      </c>
      <c r="Q972" s="43" t="str">
        <f>VLOOKUP($D972,Sheet1!$J$5:$L$192,2,TRUE)</f>
        <v>|)''</v>
      </c>
      <c r="R972" s="23">
        <f>FLOOR(VLOOKUP($D972,Sheet1!$M$5:$O$192,3,TRUE),1)</f>
        <v>58</v>
      </c>
      <c r="S972" s="42" t="str">
        <f>VLOOKUP($D972,Sheet1!$M$5:$O$192,2,TRUE)</f>
        <v>|)''</v>
      </c>
      <c r="T972" s="117">
        <f>IF(ABS(D972-VLOOKUP($D972,Sheet1!$M$5:$T$192,8,TRUE))&lt;10^-10,"SoCA",D972-VLOOKUP($D972,Sheet1!$M$5:$T$192,8,TRUE))</f>
        <v>0.18554936188341742</v>
      </c>
      <c r="U972" s="109">
        <f>IF(VLOOKUP($D972,Sheet1!$M$5:$U$192,9,TRUE)=0,"",IF(ABS(D972-VLOOKUP($D972,Sheet1!$M$5:$U$192,9,TRUE))&lt;10^-10,"Alt.",D972-VLOOKUP($D972,Sheet1!$M$5:$U$192,9,TRUE)))</f>
        <v>0.19960152927787433</v>
      </c>
      <c r="V972" s="132">
        <f>$D972-Sheet1!$M$3*$R972</f>
        <v>-1.7106528109231078E-2</v>
      </c>
      <c r="Z972" s="6"/>
      <c r="AA972" s="61"/>
    </row>
    <row r="973" spans="1:27" ht="13.5">
      <c r="A973" s="6" t="s">
        <v>510</v>
      </c>
      <c r="B973" s="6">
        <f>3^6*19</f>
        <v>13851</v>
      </c>
      <c r="C973" s="6">
        <f>2^8*5*11</f>
        <v>14080</v>
      </c>
      <c r="D973" s="13">
        <f t="shared" si="20"/>
        <v>28.388634904964412</v>
      </c>
      <c r="E973" s="61">
        <v>19</v>
      </c>
      <c r="F973" s="65">
        <v>44.782404000802117</v>
      </c>
      <c r="G973" s="6">
        <v>340</v>
      </c>
      <c r="H973" s="6">
        <v>351</v>
      </c>
      <c r="I973" s="65">
        <v>-7.7479916765265502</v>
      </c>
      <c r="J973" s="6">
        <f>VLOOKUP($D973,Sheet1!$A$5:$C$192,3,TRUE)</f>
        <v>5</v>
      </c>
      <c r="K973" s="42" t="str">
        <f>VLOOKUP($D973,Sheet1!$A$5:$C$192,2,TRUE)</f>
        <v>|)</v>
      </c>
      <c r="L973" s="6">
        <f>FLOOR(VLOOKUP($D973,Sheet1!$D$5:$F$192,3,TRUE),1)</f>
        <v>11</v>
      </c>
      <c r="M973" s="42" t="str">
        <f>VLOOKUP($D973,Sheet1!$D$5:$F$192,2,TRUE)</f>
        <v>|)</v>
      </c>
      <c r="N973" s="23">
        <f>FLOOR(VLOOKUP($D973,Sheet1!$G$5:$I$192,3,TRUE),1)</f>
        <v>14</v>
      </c>
      <c r="O973" s="42" t="str">
        <f>VLOOKUP($D973,Sheet1!$G$5:$I$192,2,TRUE)</f>
        <v>|)</v>
      </c>
      <c r="P973" s="23">
        <v>1</v>
      </c>
      <c r="Q973" s="43" t="str">
        <f>VLOOKUP($D973,Sheet1!$J$5:$L$192,2,TRUE)</f>
        <v>|)''</v>
      </c>
      <c r="R973" s="23">
        <f>FLOOR(VLOOKUP($D973,Sheet1!$M$5:$O$192,3,TRUE),1)</f>
        <v>58</v>
      </c>
      <c r="S973" s="42" t="str">
        <f>VLOOKUP($D973,Sheet1!$M$5:$O$192,2,TRUE)</f>
        <v>|)''</v>
      </c>
      <c r="T973" s="117">
        <f>IF(ABS(D973-VLOOKUP($D973,Sheet1!$M$5:$T$192,8,TRUE))&lt;10^-10,"SoCA",D973-VLOOKUP($D973,Sheet1!$M$5:$T$192,8,TRUE))</f>
        <v>0.29201890076267745</v>
      </c>
      <c r="U973" s="109">
        <f>IF(VLOOKUP($D973,Sheet1!$M$5:$U$192,9,TRUE)=0,"",IF(ABS(D973-VLOOKUP($D973,Sheet1!$M$5:$U$192,9,TRUE))&lt;10^-10,"Alt.",D973-VLOOKUP($D973,Sheet1!$M$5:$U$192,9,TRUE)))</f>
        <v>0.30607106815713436</v>
      </c>
      <c r="V973" s="132">
        <f>$D973-Sheet1!$M$3*$R973</f>
        <v>8.936301077002895E-2</v>
      </c>
      <c r="Z973" s="6"/>
      <c r="AA973" s="61"/>
    </row>
    <row r="974" spans="1:27" ht="13.5">
      <c r="A974" s="6" t="s">
        <v>1390</v>
      </c>
      <c r="B974" s="6">
        <f>3^5</f>
        <v>243</v>
      </c>
      <c r="C974" s="6">
        <f>13*19</f>
        <v>247</v>
      </c>
      <c r="D974" s="13">
        <f t="shared" si="20"/>
        <v>28.265673574675972</v>
      </c>
      <c r="E974" s="61">
        <v>19</v>
      </c>
      <c r="F974" s="65">
        <v>46.153144161839187</v>
      </c>
      <c r="G974" s="6">
        <v>1303</v>
      </c>
      <c r="H974" s="6">
        <v>1239</v>
      </c>
      <c r="I974" s="65">
        <v>-6.7404204994481747</v>
      </c>
      <c r="J974" s="6">
        <f>VLOOKUP($D974,Sheet1!$A$5:$C$192,3,TRUE)</f>
        <v>5</v>
      </c>
      <c r="K974" s="42" t="str">
        <f>VLOOKUP($D974,Sheet1!$A$5:$C$192,2,TRUE)</f>
        <v>|)</v>
      </c>
      <c r="L974" s="6">
        <f>FLOOR(VLOOKUP($D974,Sheet1!$D$5:$F$192,3,TRUE),1)</f>
        <v>11</v>
      </c>
      <c r="M974" s="42" t="str">
        <f>VLOOKUP($D974,Sheet1!$D$5:$F$192,2,TRUE)</f>
        <v>|)</v>
      </c>
      <c r="N974" s="23">
        <f>FLOOR(VLOOKUP($D974,Sheet1!$G$5:$I$192,3,TRUE),1)</f>
        <v>14</v>
      </c>
      <c r="O974" s="42" t="str">
        <f>VLOOKUP($D974,Sheet1!$G$5:$I$192,2,TRUE)</f>
        <v>|)</v>
      </c>
      <c r="P974" s="23">
        <v>1</v>
      </c>
      <c r="Q974" s="43" t="str">
        <f>VLOOKUP($D974,Sheet1!$J$5:$L$192,2,TRUE)</f>
        <v>|)''</v>
      </c>
      <c r="R974" s="23">
        <f>FLOOR(VLOOKUP($D974,Sheet1!$M$5:$O$192,3,TRUE),1)</f>
        <v>58</v>
      </c>
      <c r="S974" s="42" t="str">
        <f>VLOOKUP($D974,Sheet1!$M$5:$O$192,2,TRUE)</f>
        <v>|)''</v>
      </c>
      <c r="T974" s="117">
        <f>IF(ABS(D974-VLOOKUP($D974,Sheet1!$M$5:$T$192,8,TRUE))&lt;10^-10,"SoCA",D974-VLOOKUP($D974,Sheet1!$M$5:$T$192,8,TRUE))</f>
        <v>0.1690575704742372</v>
      </c>
      <c r="U974" s="109">
        <f>IF(VLOOKUP($D974,Sheet1!$M$5:$U$192,9,TRUE)=0,"",IF(ABS(D974-VLOOKUP($D974,Sheet1!$M$5:$U$192,9,TRUE))&lt;10^-10,"Alt.",D974-VLOOKUP($D974,Sheet1!$M$5:$U$192,9,TRUE)))</f>
        <v>0.18310973786869411</v>
      </c>
      <c r="V974" s="132">
        <f>$D974-Sheet1!$M$3*$R974</f>
        <v>-3.3598319518411301E-2</v>
      </c>
      <c r="Z974" s="6"/>
      <c r="AA974" s="61"/>
    </row>
    <row r="975" spans="1:27" ht="13.5">
      <c r="A975" s="21" t="s">
        <v>1968</v>
      </c>
      <c r="B975" s="21">
        <f>3^5*7^2*11</f>
        <v>130977</v>
      </c>
      <c r="C975" s="21">
        <f>2^11*5*13</f>
        <v>133120</v>
      </c>
      <c r="D975" s="13">
        <f t="shared" si="20"/>
        <v>28.096616004201699</v>
      </c>
      <c r="E975" s="22">
        <v>13</v>
      </c>
      <c r="F975" s="65">
        <v>53.052619826638576</v>
      </c>
      <c r="G975" s="18">
        <v>2000000</v>
      </c>
      <c r="H975" s="18">
        <v>2000000</v>
      </c>
      <c r="I975" s="92">
        <v>1.1161552191129414</v>
      </c>
      <c r="J975" s="6">
        <f>VLOOKUP($D975,Sheet1!$A$5:$C$192,3,TRUE)</f>
        <v>5</v>
      </c>
      <c r="K975" s="42" t="str">
        <f>VLOOKUP($D975,Sheet1!$A$5:$C$192,2,TRUE)</f>
        <v>|)</v>
      </c>
      <c r="L975" s="6">
        <f>FLOOR(VLOOKUP($D975,Sheet1!$D$5:$F$192,3,TRUE),1)</f>
        <v>11</v>
      </c>
      <c r="M975" s="42" t="str">
        <f>VLOOKUP($D975,Sheet1!$D$5:$F$192,2,TRUE)</f>
        <v>|)</v>
      </c>
      <c r="N975" s="23">
        <f>FLOOR(VLOOKUP($D975,Sheet1!$G$5:$I$192,3,TRUE),1)</f>
        <v>14</v>
      </c>
      <c r="O975" s="42" t="str">
        <f>VLOOKUP($D975,Sheet1!$G$5:$I$192,2,TRUE)</f>
        <v>|)</v>
      </c>
      <c r="P975" s="23">
        <v>1</v>
      </c>
      <c r="Q975" s="43" t="str">
        <f>VLOOKUP($D975,Sheet1!$J$5:$L$192,2,TRUE)</f>
        <v>|)''</v>
      </c>
      <c r="R975" s="23">
        <f>FLOOR(VLOOKUP($D975,Sheet1!$M$5:$O$192,3,TRUE),1)</f>
        <v>58</v>
      </c>
      <c r="S975" s="43" t="str">
        <f>VLOOKUP($D975,Sheet1!$M$5:$O$192,2,TRUE)</f>
        <v>|)''</v>
      </c>
      <c r="T975" s="124" t="str">
        <f>IF(ABS(D975-VLOOKUP($D975,Sheet1!$M$5:$T$192,8,TRUE))&lt;10^-10,"SoCA",D975-VLOOKUP($D975,Sheet1!$M$5:$T$192,8,TRUE))</f>
        <v>SoCA</v>
      </c>
      <c r="U975" s="117">
        <f>IF(VLOOKUP($D975,Sheet1!$M$5:$U$192,9,TRUE)=0,"",IF(ABS(D975-VLOOKUP($D975,Sheet1!$M$5:$U$192,9,TRUE))&lt;10^-10,"Alt.",D975-VLOOKUP($D975,Sheet1!$M$5:$U$192,9,TRUE)))</f>
        <v>1.4052167394421389E-2</v>
      </c>
      <c r="V975" s="132">
        <f>$D975-Sheet1!$M$3*$R975</f>
        <v>-0.20265588999268402</v>
      </c>
      <c r="Z975" s="6"/>
      <c r="AA975" s="61"/>
    </row>
    <row r="976" spans="1:27" ht="13.5">
      <c r="A976" t="s">
        <v>1386</v>
      </c>
      <c r="B976">
        <v>15859712</v>
      </c>
      <c r="C976">
        <v>16120377</v>
      </c>
      <c r="D976" s="13">
        <f t="shared" si="20"/>
        <v>28.22269302818373</v>
      </c>
      <c r="E976" s="61">
        <v>13</v>
      </c>
      <c r="F976" s="65">
        <v>69.824994325838006</v>
      </c>
      <c r="G976" s="6">
        <v>1022</v>
      </c>
      <c r="H976" s="6">
        <v>1235</v>
      </c>
      <c r="I976" s="65">
        <v>9.2622259693860087</v>
      </c>
      <c r="J976" s="6">
        <f>VLOOKUP($D976,Sheet1!$A$5:$C$192,3,TRUE)</f>
        <v>5</v>
      </c>
      <c r="K976" s="42" t="str">
        <f>VLOOKUP($D976,Sheet1!$A$5:$C$192,2,TRUE)</f>
        <v>|)</v>
      </c>
      <c r="L976" s="6">
        <f>FLOOR(VLOOKUP($D976,Sheet1!$D$5:$F$192,3,TRUE),1)</f>
        <v>11</v>
      </c>
      <c r="M976" s="42" t="str">
        <f>VLOOKUP($D976,Sheet1!$D$5:$F$192,2,TRUE)</f>
        <v>|)</v>
      </c>
      <c r="N976" s="23">
        <f>FLOOR(VLOOKUP($D976,Sheet1!$G$5:$I$192,3,TRUE),1)</f>
        <v>14</v>
      </c>
      <c r="O976" s="42" t="str">
        <f>VLOOKUP($D976,Sheet1!$G$5:$I$192,2,TRUE)</f>
        <v>|)</v>
      </c>
      <c r="P976" s="23">
        <v>1</v>
      </c>
      <c r="Q976" s="43" t="str">
        <f>VLOOKUP($D976,Sheet1!$J$5:$L$192,2,TRUE)</f>
        <v>|)''</v>
      </c>
      <c r="R976" s="23">
        <f>FLOOR(VLOOKUP($D976,Sheet1!$M$5:$O$192,3,TRUE),1)</f>
        <v>58</v>
      </c>
      <c r="S976" s="42" t="str">
        <f>VLOOKUP($D976,Sheet1!$M$5:$O$192,2,TRUE)</f>
        <v>|)''</v>
      </c>
      <c r="T976" s="117">
        <f>IF(ABS(D976-VLOOKUP($D976,Sheet1!$M$5:$T$192,8,TRUE))&lt;10^-10,"SoCA",D976-VLOOKUP($D976,Sheet1!$M$5:$T$192,8,TRUE))</f>
        <v>0.1260770239819955</v>
      </c>
      <c r="U976" s="109">
        <f>IF(VLOOKUP($D976,Sheet1!$M$5:$U$192,9,TRUE)=0,"",IF(ABS(D976-VLOOKUP($D976,Sheet1!$M$5:$U$192,9,TRUE))&lt;10^-10,"Alt.",D976-VLOOKUP($D976,Sheet1!$M$5:$U$192,9,TRUE)))</f>
        <v>0.14012919137645241</v>
      </c>
      <c r="V976" s="132">
        <f>$D976-Sheet1!$M$3*$R976</f>
        <v>-7.6578866010653002E-2</v>
      </c>
      <c r="Z976" s="6"/>
      <c r="AA976" s="61"/>
    </row>
    <row r="977" spans="1:27" ht="13.5">
      <c r="A977" s="6" t="s">
        <v>1300</v>
      </c>
      <c r="B977" s="6">
        <f>2^5*3^4</f>
        <v>2592</v>
      </c>
      <c r="C977" s="6">
        <f>5*17*31</f>
        <v>2635</v>
      </c>
      <c r="D977" s="13">
        <f t="shared" si="20"/>
        <v>28.484692367942863</v>
      </c>
      <c r="E977" s="61">
        <v>31</v>
      </c>
      <c r="F977" s="65">
        <v>85.574409524951648</v>
      </c>
      <c r="G977" s="6">
        <v>1209</v>
      </c>
      <c r="H977" s="6">
        <v>1149</v>
      </c>
      <c r="I977" s="65">
        <v>-5.753906284478524</v>
      </c>
      <c r="J977" s="6">
        <f>VLOOKUP($D977,Sheet1!$A$5:$C$192,3,TRUE)</f>
        <v>5</v>
      </c>
      <c r="K977" s="42" t="str">
        <f>VLOOKUP($D977,Sheet1!$A$5:$C$192,2,TRUE)</f>
        <v>|)</v>
      </c>
      <c r="L977" s="6">
        <f>FLOOR(VLOOKUP($D977,Sheet1!$D$5:$F$192,3,TRUE),1)</f>
        <v>11</v>
      </c>
      <c r="M977" s="42" t="str">
        <f>VLOOKUP($D977,Sheet1!$D$5:$F$192,2,TRUE)</f>
        <v>|)</v>
      </c>
      <c r="N977" s="23">
        <f>FLOOR(VLOOKUP($D977,Sheet1!$G$5:$I$192,3,TRUE),1)</f>
        <v>14</v>
      </c>
      <c r="O977" s="42" t="str">
        <f>VLOOKUP($D977,Sheet1!$G$5:$I$192,2,TRUE)</f>
        <v>|)</v>
      </c>
      <c r="P977" s="23">
        <v>1</v>
      </c>
      <c r="Q977" s="43" t="str">
        <f>VLOOKUP($D977,Sheet1!$J$5:$L$192,2,TRUE)</f>
        <v>|)''</v>
      </c>
      <c r="R977" s="23">
        <f>FLOOR(VLOOKUP($D977,Sheet1!$M$5:$O$192,3,TRUE),1)</f>
        <v>58</v>
      </c>
      <c r="S977" s="42" t="str">
        <f>VLOOKUP($D977,Sheet1!$M$5:$O$192,2,TRUE)</f>
        <v>|)''</v>
      </c>
      <c r="T977" s="117">
        <f>IF(ABS(D977-VLOOKUP($D977,Sheet1!$M$5:$T$192,8,TRUE))&lt;10^-10,"SoCA",D977-VLOOKUP($D977,Sheet1!$M$5:$T$192,8,TRUE))</f>
        <v>0.38807636374112775</v>
      </c>
      <c r="U977" s="109">
        <f>IF(VLOOKUP($D977,Sheet1!$M$5:$U$192,9,TRUE)=0,"",IF(ABS(D977-VLOOKUP($D977,Sheet1!$M$5:$U$192,9,TRUE))&lt;10^-10,"Alt.",D977-VLOOKUP($D977,Sheet1!$M$5:$U$192,9,TRUE)))</f>
        <v>0.40212853113558467</v>
      </c>
      <c r="V977" s="132">
        <f>$D977-Sheet1!$M$3*$R977</f>
        <v>0.18542047374847925</v>
      </c>
      <c r="Z977" s="6"/>
      <c r="AA977" s="61"/>
    </row>
    <row r="978" spans="1:27" ht="13.5">
      <c r="A978" s="6" t="s">
        <v>503</v>
      </c>
      <c r="B978" s="6">
        <v>61</v>
      </c>
      <c r="C978" s="6">
        <f>2*31</f>
        <v>62</v>
      </c>
      <c r="D978" s="13">
        <f t="shared" si="20"/>
        <v>28.150767388786754</v>
      </c>
      <c r="E978" s="61" t="s">
        <v>1931</v>
      </c>
      <c r="F978" s="65">
        <v>92.054275017736188</v>
      </c>
      <c r="G978" s="6">
        <v>377</v>
      </c>
      <c r="H978" s="6">
        <v>344</v>
      </c>
      <c r="I978" s="65">
        <v>-1.7333453069569489</v>
      </c>
      <c r="J978" s="6">
        <f>VLOOKUP($D978,Sheet1!$A$5:$C$192,3,TRUE)</f>
        <v>5</v>
      </c>
      <c r="K978" s="42" t="str">
        <f>VLOOKUP($D978,Sheet1!$A$5:$C$192,2,TRUE)</f>
        <v>|)</v>
      </c>
      <c r="L978" s="6">
        <f>FLOOR(VLOOKUP($D978,Sheet1!$D$5:$F$192,3,TRUE),1)</f>
        <v>11</v>
      </c>
      <c r="M978" s="42" t="str">
        <f>VLOOKUP($D978,Sheet1!$D$5:$F$192,2,TRUE)</f>
        <v>|)</v>
      </c>
      <c r="N978" s="23">
        <f>FLOOR(VLOOKUP($D978,Sheet1!$G$5:$I$192,3,TRUE),1)</f>
        <v>14</v>
      </c>
      <c r="O978" s="42" t="str">
        <f>VLOOKUP($D978,Sheet1!$G$5:$I$192,2,TRUE)</f>
        <v>|)</v>
      </c>
      <c r="P978" s="23">
        <v>1</v>
      </c>
      <c r="Q978" s="43" t="str">
        <f>VLOOKUP($D978,Sheet1!$J$5:$L$192,2,TRUE)</f>
        <v>|)''</v>
      </c>
      <c r="R978" s="23">
        <f>FLOOR(VLOOKUP($D978,Sheet1!$M$5:$O$192,3,TRUE),1)</f>
        <v>58</v>
      </c>
      <c r="S978" s="42" t="str">
        <f>VLOOKUP($D978,Sheet1!$M$5:$O$192,2,TRUE)</f>
        <v>|)''</v>
      </c>
      <c r="T978" s="117">
        <f>IF(ABS(D978-VLOOKUP($D978,Sheet1!$M$5:$T$192,8,TRUE))&lt;10^-10,"SoCA",D978-VLOOKUP($D978,Sheet1!$M$5:$T$192,8,TRUE))</f>
        <v>5.4151384585019002E-2</v>
      </c>
      <c r="U978" s="109">
        <f>IF(VLOOKUP($D978,Sheet1!$M$5:$U$192,9,TRUE)=0,"",IF(ABS(D978-VLOOKUP($D978,Sheet1!$M$5:$U$192,9,TRUE))&lt;10^-10,"Alt.",D978-VLOOKUP($D978,Sheet1!$M$5:$U$192,9,TRUE)))</f>
        <v>6.8203551979475918E-2</v>
      </c>
      <c r="V978" s="132">
        <f>$D978-Sheet1!$M$3*$R978</f>
        <v>-0.14850450540762949</v>
      </c>
      <c r="Z978" s="6"/>
      <c r="AA978" s="61"/>
    </row>
    <row r="979" spans="1:27" ht="13.5">
      <c r="A979" t="s">
        <v>844</v>
      </c>
      <c r="B979">
        <v>664</v>
      </c>
      <c r="C979">
        <v>675</v>
      </c>
      <c r="D979" s="13">
        <f t="shared" si="20"/>
        <v>28.445112709522153</v>
      </c>
      <c r="E979" s="61" t="s">
        <v>1931</v>
      </c>
      <c r="F979" s="65">
        <v>111.73051367121828</v>
      </c>
      <c r="G979" s="6">
        <v>724</v>
      </c>
      <c r="H979" s="6">
        <v>691</v>
      </c>
      <c r="I979" s="65">
        <v>1.2485307792869853</v>
      </c>
      <c r="J979" s="6">
        <f>VLOOKUP($D979,Sheet1!$A$5:$C$192,3,TRUE)</f>
        <v>5</v>
      </c>
      <c r="K979" s="42" t="str">
        <f>VLOOKUP($D979,Sheet1!$A$5:$C$192,2,TRUE)</f>
        <v>|)</v>
      </c>
      <c r="L979" s="6">
        <f>FLOOR(VLOOKUP($D979,Sheet1!$D$5:$F$192,3,TRUE),1)</f>
        <v>11</v>
      </c>
      <c r="M979" s="42" t="str">
        <f>VLOOKUP($D979,Sheet1!$D$5:$F$192,2,TRUE)</f>
        <v>|)</v>
      </c>
      <c r="N979" s="23">
        <f>FLOOR(VLOOKUP($D979,Sheet1!$G$5:$I$192,3,TRUE),1)</f>
        <v>14</v>
      </c>
      <c r="O979" s="42" t="str">
        <f>VLOOKUP($D979,Sheet1!$G$5:$I$192,2,TRUE)</f>
        <v>|)</v>
      </c>
      <c r="P979" s="23">
        <v>1</v>
      </c>
      <c r="Q979" s="43" t="str">
        <f>VLOOKUP($D979,Sheet1!$J$5:$L$192,2,TRUE)</f>
        <v>|)''</v>
      </c>
      <c r="R979" s="23">
        <f>FLOOR(VLOOKUP($D979,Sheet1!$M$5:$O$192,3,TRUE),1)</f>
        <v>58</v>
      </c>
      <c r="S979" s="42" t="str">
        <f>VLOOKUP($D979,Sheet1!$M$5:$O$192,2,TRUE)</f>
        <v>|)''</v>
      </c>
      <c r="T979" s="117">
        <f>IF(ABS(D979-VLOOKUP($D979,Sheet1!$M$5:$T$192,8,TRUE))&lt;10^-10,"SoCA",D979-VLOOKUP($D979,Sheet1!$M$5:$T$192,8,TRUE))</f>
        <v>0.34849670532041799</v>
      </c>
      <c r="U979" s="109">
        <f>IF(VLOOKUP($D979,Sheet1!$M$5:$U$192,9,TRUE)=0,"",IF(ABS(D979-VLOOKUP($D979,Sheet1!$M$5:$U$192,9,TRUE))&lt;10^-10,"Alt.",D979-VLOOKUP($D979,Sheet1!$M$5:$U$192,9,TRUE)))</f>
        <v>0.3625488727148749</v>
      </c>
      <c r="V979" s="132">
        <f>$D979-Sheet1!$M$3*$R979</f>
        <v>0.14584081532776949</v>
      </c>
      <c r="Z979" s="6"/>
      <c r="AA979" s="61"/>
    </row>
    <row r="980" spans="1:27" ht="13.5">
      <c r="A980" t="s">
        <v>538</v>
      </c>
      <c r="B980">
        <v>304</v>
      </c>
      <c r="C980">
        <v>309</v>
      </c>
      <c r="D980" s="13">
        <f t="shared" si="20"/>
        <v>28.242617352946922</v>
      </c>
      <c r="E980" s="61" t="s">
        <v>1931</v>
      </c>
      <c r="F980" s="65">
        <v>122.04885032626352</v>
      </c>
      <c r="G980" s="14">
        <v>422</v>
      </c>
      <c r="H980" s="6">
        <v>381</v>
      </c>
      <c r="I980" s="65">
        <v>-0.73900084387792853</v>
      </c>
      <c r="J980" s="6">
        <f>VLOOKUP($D980,Sheet1!$A$5:$C$192,3,TRUE)</f>
        <v>5</v>
      </c>
      <c r="K980" s="42" t="str">
        <f>VLOOKUP($D980,Sheet1!$A$5:$C$192,2,TRUE)</f>
        <v>|)</v>
      </c>
      <c r="L980" s="6">
        <f>FLOOR(VLOOKUP($D980,Sheet1!$D$5:$F$192,3,TRUE),1)</f>
        <v>11</v>
      </c>
      <c r="M980" s="42" t="str">
        <f>VLOOKUP($D980,Sheet1!$D$5:$F$192,2,TRUE)</f>
        <v>|)</v>
      </c>
      <c r="N980" s="23">
        <f>FLOOR(VLOOKUP($D980,Sheet1!$G$5:$I$192,3,TRUE),1)</f>
        <v>14</v>
      </c>
      <c r="O980" s="42" t="str">
        <f>VLOOKUP($D980,Sheet1!$G$5:$I$192,2,TRUE)</f>
        <v>|)</v>
      </c>
      <c r="P980" s="23">
        <v>1</v>
      </c>
      <c r="Q980" s="43" t="str">
        <f>VLOOKUP($D980,Sheet1!$J$5:$L$192,2,TRUE)</f>
        <v>|)''</v>
      </c>
      <c r="R980" s="23">
        <f>FLOOR(VLOOKUP($D980,Sheet1!$M$5:$O$192,3,TRUE),1)</f>
        <v>58</v>
      </c>
      <c r="S980" s="42" t="str">
        <f>VLOOKUP($D980,Sheet1!$M$5:$O$192,2,TRUE)</f>
        <v>|)''</v>
      </c>
      <c r="T980" s="117">
        <f>IF(ABS(D980-VLOOKUP($D980,Sheet1!$M$5:$T$192,8,TRUE))&lt;10^-10,"SoCA",D980-VLOOKUP($D980,Sheet1!$M$5:$T$192,8,TRUE))</f>
        <v>0.14600134874518744</v>
      </c>
      <c r="U980" s="109">
        <f>IF(VLOOKUP($D980,Sheet1!$M$5:$U$192,9,TRUE)=0,"",IF(ABS(D980-VLOOKUP($D980,Sheet1!$M$5:$U$192,9,TRUE))&lt;10^-10,"Alt.",D980-VLOOKUP($D980,Sheet1!$M$5:$U$192,9,TRUE)))</f>
        <v>0.16005351613964436</v>
      </c>
      <c r="V980" s="132">
        <f>$D980-Sheet1!$M$3*$R980</f>
        <v>-5.6654541247461054E-2</v>
      </c>
      <c r="Z980" s="6"/>
      <c r="AA980" s="61"/>
    </row>
    <row r="981" spans="1:27" ht="13.5">
      <c r="A981" s="6" t="s">
        <v>1890</v>
      </c>
      <c r="B981">
        <v>59049</v>
      </c>
      <c r="C981">
        <v>60025</v>
      </c>
      <c r="D981" s="13">
        <f t="shared" si="20"/>
        <v>28.381044952294999</v>
      </c>
      <c r="E981" s="61">
        <v>7</v>
      </c>
      <c r="F981" s="65">
        <v>129.06828933669385</v>
      </c>
      <c r="G981" s="59">
        <v>1726</v>
      </c>
      <c r="H981" s="63">
        <v>1000095</v>
      </c>
      <c r="I981" s="65">
        <v>-11.747524335488992</v>
      </c>
      <c r="J981" s="6">
        <f>VLOOKUP($D981,Sheet1!$A$5:$C$192,3,TRUE)</f>
        <v>5</v>
      </c>
      <c r="K981" s="42" t="str">
        <f>VLOOKUP($D981,Sheet1!$A$5:$C$192,2,TRUE)</f>
        <v>|)</v>
      </c>
      <c r="L981" s="6">
        <f>FLOOR(VLOOKUP($D981,Sheet1!$D$5:$F$192,3,TRUE),1)</f>
        <v>11</v>
      </c>
      <c r="M981" s="42" t="str">
        <f>VLOOKUP($D981,Sheet1!$D$5:$F$192,2,TRUE)</f>
        <v>|)</v>
      </c>
      <c r="N981" s="23">
        <f>FLOOR(VLOOKUP($D981,Sheet1!$G$5:$I$192,3,TRUE),1)</f>
        <v>14</v>
      </c>
      <c r="O981" s="42" t="str">
        <f>VLOOKUP($D981,Sheet1!$G$5:$I$192,2,TRUE)</f>
        <v>|)</v>
      </c>
      <c r="P981" s="23">
        <v>1</v>
      </c>
      <c r="Q981" s="43" t="str">
        <f>VLOOKUP($D981,Sheet1!$J$5:$L$192,2,TRUE)</f>
        <v>|)''</v>
      </c>
      <c r="R981" s="23">
        <f>FLOOR(VLOOKUP($D981,Sheet1!$M$5:$O$192,3,TRUE),1)</f>
        <v>58</v>
      </c>
      <c r="S981" s="42" t="str">
        <f>VLOOKUP($D981,Sheet1!$M$5:$O$192,2,TRUE)</f>
        <v>|)''</v>
      </c>
      <c r="T981" s="117">
        <f>IF(ABS(D981-VLOOKUP($D981,Sheet1!$M$5:$T$192,8,TRUE))&lt;10^-10,"SoCA",D981-VLOOKUP($D981,Sheet1!$M$5:$T$192,8,TRUE))</f>
        <v>0.28442894809326447</v>
      </c>
      <c r="U981" s="109">
        <f>IF(VLOOKUP($D981,Sheet1!$M$5:$U$192,9,TRUE)=0,"",IF(ABS(D981-VLOOKUP($D981,Sheet1!$M$5:$U$192,9,TRUE))&lt;10^-10,"Alt.",D981-VLOOKUP($D981,Sheet1!$M$5:$U$192,9,TRUE)))</f>
        <v>0.29848111548772138</v>
      </c>
      <c r="V981" s="132">
        <f>$D981-Sheet1!$M$3*$R981</f>
        <v>8.177305810061597E-2</v>
      </c>
      <c r="Z981" s="6"/>
      <c r="AA981" s="61"/>
    </row>
    <row r="982" spans="1:27" ht="13.5">
      <c r="A982" s="6" t="s">
        <v>1900</v>
      </c>
      <c r="B982">
        <v>59049</v>
      </c>
      <c r="C982">
        <v>60016</v>
      </c>
      <c r="D982" s="13">
        <f t="shared" si="20"/>
        <v>28.121448539889609</v>
      </c>
      <c r="E982" s="61">
        <v>31</v>
      </c>
      <c r="F982" s="65">
        <v>133.77413110371361</v>
      </c>
      <c r="G982" s="59">
        <v>1737</v>
      </c>
      <c r="H982" s="63">
        <v>1000105</v>
      </c>
      <c r="I982" s="65">
        <v>-11.73154003861597</v>
      </c>
      <c r="J982" s="6">
        <f>VLOOKUP($D982,Sheet1!$A$5:$C$192,3,TRUE)</f>
        <v>5</v>
      </c>
      <c r="K982" s="42" t="str">
        <f>VLOOKUP($D982,Sheet1!$A$5:$C$192,2,TRUE)</f>
        <v>|)</v>
      </c>
      <c r="L982" s="6">
        <f>FLOOR(VLOOKUP($D982,Sheet1!$D$5:$F$192,3,TRUE),1)</f>
        <v>11</v>
      </c>
      <c r="M982" s="42" t="str">
        <f>VLOOKUP($D982,Sheet1!$D$5:$F$192,2,TRUE)</f>
        <v>|)</v>
      </c>
      <c r="N982" s="23">
        <f>FLOOR(VLOOKUP($D982,Sheet1!$G$5:$I$192,3,TRUE),1)</f>
        <v>14</v>
      </c>
      <c r="O982" s="42" t="str">
        <f>VLOOKUP($D982,Sheet1!$G$5:$I$192,2,TRUE)</f>
        <v>|)</v>
      </c>
      <c r="P982" s="23">
        <v>1</v>
      </c>
      <c r="Q982" s="43" t="str">
        <f>VLOOKUP($D982,Sheet1!$J$5:$L$192,2,TRUE)</f>
        <v>|)''</v>
      </c>
      <c r="R982" s="23">
        <f>FLOOR(VLOOKUP($D982,Sheet1!$M$5:$O$192,3,TRUE),1)</f>
        <v>58</v>
      </c>
      <c r="S982" s="42" t="str">
        <f>VLOOKUP($D982,Sheet1!$M$5:$O$192,2,TRUE)</f>
        <v>|)''</v>
      </c>
      <c r="T982" s="117">
        <f>IF(ABS(D982-VLOOKUP($D982,Sheet1!$M$5:$T$192,8,TRUE))&lt;10^-10,"SoCA",D982-VLOOKUP($D982,Sheet1!$M$5:$T$192,8,TRUE))</f>
        <v>2.4832535687874469E-2</v>
      </c>
      <c r="U982" s="109">
        <f>IF(VLOOKUP($D982,Sheet1!$M$5:$U$192,9,TRUE)=0,"",IF(ABS(D982-VLOOKUP($D982,Sheet1!$M$5:$U$192,9,TRUE))&lt;10^-10,"Alt.",D982-VLOOKUP($D982,Sheet1!$M$5:$U$192,9,TRUE)))</f>
        <v>3.8884703082331384E-2</v>
      </c>
      <c r="V982" s="132">
        <f>$D982-Sheet1!$M$3*$R982</f>
        <v>-0.17782335430477403</v>
      </c>
      <c r="Z982" s="6"/>
      <c r="AA982" s="61"/>
    </row>
    <row r="983" spans="1:27" ht="13.5">
      <c r="A983" t="s">
        <v>1753</v>
      </c>
      <c r="B983">
        <v>522784</v>
      </c>
      <c r="C983">
        <v>531441</v>
      </c>
      <c r="D983" s="13">
        <f t="shared" si="20"/>
        <v>28.433455955741348</v>
      </c>
      <c r="E983" s="61">
        <v>31</v>
      </c>
      <c r="F983" s="65">
        <v>190.89092572709592</v>
      </c>
      <c r="G983" s="6">
        <v>1659</v>
      </c>
      <c r="H983" s="6">
        <v>1602</v>
      </c>
      <c r="I983" s="65">
        <v>10.249248528085136</v>
      </c>
      <c r="J983" s="6">
        <f>VLOOKUP($D983,Sheet1!$A$5:$C$192,3,TRUE)</f>
        <v>5</v>
      </c>
      <c r="K983" s="42" t="str">
        <f>VLOOKUP($D983,Sheet1!$A$5:$C$192,2,TRUE)</f>
        <v>|)</v>
      </c>
      <c r="L983" s="6">
        <f>FLOOR(VLOOKUP($D983,Sheet1!$D$5:$F$192,3,TRUE),1)</f>
        <v>11</v>
      </c>
      <c r="M983" s="42" t="str">
        <f>VLOOKUP($D983,Sheet1!$D$5:$F$192,2,TRUE)</f>
        <v>|)</v>
      </c>
      <c r="N983" s="23">
        <f>FLOOR(VLOOKUP($D983,Sheet1!$G$5:$I$192,3,TRUE),1)</f>
        <v>14</v>
      </c>
      <c r="O983" s="42" t="str">
        <f>VLOOKUP($D983,Sheet1!$G$5:$I$192,2,TRUE)</f>
        <v>|)</v>
      </c>
      <c r="P983" s="23">
        <v>1</v>
      </c>
      <c r="Q983" s="43" t="str">
        <f>VLOOKUP($D983,Sheet1!$J$5:$L$192,2,TRUE)</f>
        <v>|)''</v>
      </c>
      <c r="R983" s="23">
        <f>FLOOR(VLOOKUP($D983,Sheet1!$M$5:$O$192,3,TRUE),1)</f>
        <v>58</v>
      </c>
      <c r="S983" s="42" t="str">
        <f>VLOOKUP($D983,Sheet1!$M$5:$O$192,2,TRUE)</f>
        <v>|)''</v>
      </c>
      <c r="T983" s="117">
        <f>IF(ABS(D983-VLOOKUP($D983,Sheet1!$M$5:$T$192,8,TRUE))&lt;10^-10,"SoCA",D983-VLOOKUP($D983,Sheet1!$M$5:$T$192,8,TRUE))</f>
        <v>0.33683995153961277</v>
      </c>
      <c r="U983" s="109">
        <f>IF(VLOOKUP($D983,Sheet1!$M$5:$U$192,9,TRUE)=0,"",IF(ABS(D983-VLOOKUP($D983,Sheet1!$M$5:$U$192,9,TRUE))&lt;10^-10,"Alt.",D983-VLOOKUP($D983,Sheet1!$M$5:$U$192,9,TRUE)))</f>
        <v>0.35089211893406969</v>
      </c>
      <c r="V983" s="132">
        <f>$D983-Sheet1!$M$3*$R983</f>
        <v>0.13418406154696427</v>
      </c>
      <c r="Z983" s="6"/>
      <c r="AA983" s="61"/>
    </row>
    <row r="984" spans="1:27" ht="13.5">
      <c r="A984" t="s">
        <v>1727</v>
      </c>
      <c r="B984">
        <v>3659776</v>
      </c>
      <c r="C984">
        <v>3720087</v>
      </c>
      <c r="D984" s="13">
        <f t="shared" si="20"/>
        <v>28.297214003985161</v>
      </c>
      <c r="E984" s="61" t="s">
        <v>1931</v>
      </c>
      <c r="F984" s="65">
        <v>1904.1154042157955</v>
      </c>
      <c r="G984" s="6">
        <v>1507</v>
      </c>
      <c r="H984" s="6">
        <v>1576</v>
      </c>
      <c r="I984" s="65">
        <v>10.257637441411218</v>
      </c>
      <c r="J984" s="6">
        <f>VLOOKUP($D984,Sheet1!$A$5:$C$192,3,TRUE)</f>
        <v>5</v>
      </c>
      <c r="K984" s="42" t="str">
        <f>VLOOKUP($D984,Sheet1!$A$5:$C$192,2,TRUE)</f>
        <v>|)</v>
      </c>
      <c r="L984" s="6">
        <f>FLOOR(VLOOKUP($D984,Sheet1!$D$5:$F$192,3,TRUE),1)</f>
        <v>11</v>
      </c>
      <c r="M984" s="42" t="str">
        <f>VLOOKUP($D984,Sheet1!$D$5:$F$192,2,TRUE)</f>
        <v>|)</v>
      </c>
      <c r="N984" s="23">
        <f>FLOOR(VLOOKUP($D984,Sheet1!$G$5:$I$192,3,TRUE),1)</f>
        <v>14</v>
      </c>
      <c r="O984" s="42" t="str">
        <f>VLOOKUP($D984,Sheet1!$G$5:$I$192,2,TRUE)</f>
        <v>|)</v>
      </c>
      <c r="P984" s="23">
        <v>1</v>
      </c>
      <c r="Q984" s="43" t="str">
        <f>VLOOKUP($D984,Sheet1!$J$5:$L$192,2,TRUE)</f>
        <v>|)''</v>
      </c>
      <c r="R984" s="23">
        <f>FLOOR(VLOOKUP($D984,Sheet1!$M$5:$O$192,3,TRUE),1)</f>
        <v>58</v>
      </c>
      <c r="S984" s="42" t="str">
        <f>VLOOKUP($D984,Sheet1!$M$5:$O$192,2,TRUE)</f>
        <v>|)''</v>
      </c>
      <c r="T984" s="117">
        <f>IF(ABS(D984-VLOOKUP($D984,Sheet1!$M$5:$T$192,8,TRUE))&lt;10^-10,"SoCA",D984-VLOOKUP($D984,Sheet1!$M$5:$T$192,8,TRUE))</f>
        <v>0.20059799978342596</v>
      </c>
      <c r="U984" s="109">
        <f>IF(VLOOKUP($D984,Sheet1!$M$5:$U$192,9,TRUE)=0,"",IF(ABS(D984-VLOOKUP($D984,Sheet1!$M$5:$U$192,9,TRUE))&lt;10^-10,"Alt.",D984-VLOOKUP($D984,Sheet1!$M$5:$U$192,9,TRUE)))</f>
        <v>0.21465016717788288</v>
      </c>
      <c r="V984" s="132">
        <f>$D984-Sheet1!$M$3*$R984</f>
        <v>-2.0578902092225348E-3</v>
      </c>
      <c r="Z984" s="6"/>
      <c r="AA984" s="61"/>
    </row>
    <row r="985" spans="1:27" ht="13.5">
      <c r="A985" s="38" t="s">
        <v>1348</v>
      </c>
      <c r="B985" s="38">
        <f>2^21</f>
        <v>2097152</v>
      </c>
      <c r="C985" s="38">
        <f>3^8*5^2*13</f>
        <v>2132325</v>
      </c>
      <c r="D985" s="13">
        <f t="shared" si="20"/>
        <v>28.795096422079567</v>
      </c>
      <c r="E985" s="61">
        <v>13</v>
      </c>
      <c r="F985" s="65">
        <v>39.742063002015975</v>
      </c>
      <c r="G985" s="6">
        <v>1260</v>
      </c>
      <c r="H985" s="6">
        <v>1197</v>
      </c>
      <c r="I985" s="65">
        <v>6.2269810070447402</v>
      </c>
      <c r="J985" s="6">
        <f>VLOOKUP($D985,Sheet1!$A$5:$C$192,3,TRUE)</f>
        <v>5</v>
      </c>
      <c r="K985" s="42" t="str">
        <f>VLOOKUP($D985,Sheet1!$A$5:$C$192,2,TRUE)</f>
        <v>|)</v>
      </c>
      <c r="L985" s="6">
        <f>FLOOR(VLOOKUP($D985,Sheet1!$D$5:$F$192,3,TRUE),1)</f>
        <v>12</v>
      </c>
      <c r="M985" s="42" t="str">
        <f>VLOOKUP($D985,Sheet1!$D$5:$F$192,2,TRUE)</f>
        <v>)|)</v>
      </c>
      <c r="N985" s="23">
        <f>FLOOR(VLOOKUP($D985,Sheet1!$G$5:$I$192,3,TRUE),1)</f>
        <v>15</v>
      </c>
      <c r="O985" s="42" t="str">
        <f>VLOOKUP($D985,Sheet1!$G$5:$I$192,2,TRUE)</f>
        <v>'|)</v>
      </c>
      <c r="P985" s="23">
        <v>1</v>
      </c>
      <c r="Q985" s="45" t="str">
        <f>VLOOKUP($D985,Sheet1!$J$5:$L$192,2,TRUE)</f>
        <v>'|).</v>
      </c>
      <c r="R985" s="38">
        <f>FLOOR(VLOOKUP($D985,Sheet1!$M$5:$O$192,3,TRUE),1)</f>
        <v>59</v>
      </c>
      <c r="S985" s="45" t="str">
        <f>VLOOKUP($D985,Sheet1!$M$5:$O$192,2,TRUE)</f>
        <v>'|).</v>
      </c>
      <c r="T985" s="112" t="str">
        <f>IF(ABS(D985-VLOOKUP($D985,Sheet1!$M$5:$T$192,8,TRUE))&lt;10^-10,"SoCA",D985-VLOOKUP($D985,Sheet1!$M$5:$T$192,8,TRUE))</f>
        <v>SoCA</v>
      </c>
      <c r="U985" s="108">
        <f>IF(VLOOKUP($D985,Sheet1!$M$5:$U$192,9,TRUE)=0,"",IF(ABS(D985-VLOOKUP($D985,Sheet1!$M$5:$U$192,9,TRUE))&lt;10^-10,"Alt.",D985-VLOOKUP($D985,Sheet1!$M$5:$U$192,9,TRUE)))</f>
        <v>-2.6960295202339779E-2</v>
      </c>
      <c r="V985" s="133">
        <f>$D985-Sheet1!$M$3*$R985</f>
        <v>7.9060469507972186E-3</v>
      </c>
      <c r="Z985" s="6"/>
      <c r="AA985" s="61"/>
    </row>
    <row r="986" spans="1:27" ht="13.5">
      <c r="A986" s="23" t="s">
        <v>733</v>
      </c>
      <c r="B986" s="23">
        <f>3^7*5*7</f>
        <v>76545</v>
      </c>
      <c r="C986" s="23">
        <f>2^12*19</f>
        <v>77824</v>
      </c>
      <c r="D986" s="13">
        <f t="shared" si="20"/>
        <v>28.688389740630978</v>
      </c>
      <c r="E986" s="61">
        <v>19</v>
      </c>
      <c r="F986" s="65">
        <v>42.641952697231176</v>
      </c>
      <c r="G986" s="6">
        <v>531</v>
      </c>
      <c r="H986" s="6">
        <v>578</v>
      </c>
      <c r="I986" s="65">
        <v>-8.766448673824863</v>
      </c>
      <c r="J986" s="6">
        <f>VLOOKUP($D986,Sheet1!$A$5:$C$192,3,TRUE)</f>
        <v>5</v>
      </c>
      <c r="K986" s="42" t="str">
        <f>VLOOKUP($D986,Sheet1!$A$5:$C$192,2,TRUE)</f>
        <v>|)</v>
      </c>
      <c r="L986" s="6">
        <f>FLOOR(VLOOKUP($D986,Sheet1!$D$5:$F$192,3,TRUE),1)</f>
        <v>12</v>
      </c>
      <c r="M986" s="42" t="str">
        <f>VLOOKUP($D986,Sheet1!$D$5:$F$192,2,TRUE)</f>
        <v>)|)</v>
      </c>
      <c r="N986" s="23">
        <f>FLOOR(VLOOKUP($D986,Sheet1!$G$5:$I$192,3,TRUE),1)</f>
        <v>15</v>
      </c>
      <c r="O986" s="42" t="str">
        <f>VLOOKUP($D986,Sheet1!$G$5:$I$192,2,TRUE)</f>
        <v>'|)</v>
      </c>
      <c r="P986" s="23">
        <v>1</v>
      </c>
      <c r="Q986" s="43" t="str">
        <f>VLOOKUP($D986,Sheet1!$J$5:$L$192,2,TRUE)</f>
        <v>'|).</v>
      </c>
      <c r="R986" s="23">
        <f>FLOOR(VLOOKUP($D986,Sheet1!$M$5:$O$192,3,TRUE),1)</f>
        <v>59</v>
      </c>
      <c r="S986" s="43" t="str">
        <f>VLOOKUP($D986,Sheet1!$M$5:$O$192,2,TRUE)</f>
        <v>'|).</v>
      </c>
      <c r="T986" s="117">
        <f>IF(ABS(D986-VLOOKUP($D986,Sheet1!$M$5:$T$192,8,TRUE))&lt;10^-10,"SoCA",D986-VLOOKUP($D986,Sheet1!$M$5:$T$192,8,TRUE))</f>
        <v>-0.10670668144849316</v>
      </c>
      <c r="U986" s="117">
        <f>IF(VLOOKUP($D986,Sheet1!$M$5:$U$192,9,TRUE)=0,"",IF(ABS(D986-VLOOKUP($D986,Sheet1!$M$5:$U$192,9,TRUE))&lt;10^-10,"Alt.",D986-VLOOKUP($D986,Sheet1!$M$5:$U$192,9,TRUE)))</f>
        <v>-0.13366697665092886</v>
      </c>
      <c r="V986" s="132">
        <f>$D986-Sheet1!$M$3*$R986</f>
        <v>-9.8800634497791862E-2</v>
      </c>
      <c r="Z986" s="6"/>
      <c r="AA986" s="61"/>
    </row>
    <row r="987" spans="1:27" ht="13.5">
      <c r="A987" s="23" t="s">
        <v>425</v>
      </c>
      <c r="B987" s="23">
        <f>2^5*5*11^2</f>
        <v>19360</v>
      </c>
      <c r="C987" s="23">
        <f>3^9</f>
        <v>19683</v>
      </c>
      <c r="D987" s="13">
        <f t="shared" si="20"/>
        <v>28.645409194138708</v>
      </c>
      <c r="E987" s="61">
        <v>11</v>
      </c>
      <c r="F987" s="65">
        <v>49.364368864316866</v>
      </c>
      <c r="G987" s="6">
        <v>255</v>
      </c>
      <c r="H987" s="6">
        <v>263</v>
      </c>
      <c r="I987" s="65">
        <v>7.2361977950093213</v>
      </c>
      <c r="J987" s="6">
        <f>VLOOKUP($D987,Sheet1!$A$5:$C$192,3,TRUE)</f>
        <v>5</v>
      </c>
      <c r="K987" s="42" t="str">
        <f>VLOOKUP($D987,Sheet1!$A$5:$C$192,2,TRUE)</f>
        <v>|)</v>
      </c>
      <c r="L987" s="6">
        <f>FLOOR(VLOOKUP($D987,Sheet1!$D$5:$F$192,3,TRUE),1)</f>
        <v>12</v>
      </c>
      <c r="M987" s="42" t="str">
        <f>VLOOKUP($D987,Sheet1!$D$5:$F$192,2,TRUE)</f>
        <v>)|)</v>
      </c>
      <c r="N987" s="23">
        <f>FLOOR(VLOOKUP($D987,Sheet1!$G$5:$I$192,3,TRUE),1)</f>
        <v>15</v>
      </c>
      <c r="O987" s="42" t="str">
        <f>VLOOKUP($D987,Sheet1!$G$5:$I$192,2,TRUE)</f>
        <v>'|)</v>
      </c>
      <c r="P987" s="23">
        <v>1</v>
      </c>
      <c r="Q987" s="43" t="str">
        <f>VLOOKUP($D987,Sheet1!$J$5:$L$192,2,TRUE)</f>
        <v>'|).</v>
      </c>
      <c r="R987" s="23">
        <f>FLOOR(VLOOKUP($D987,Sheet1!$M$5:$O$192,3,TRUE),1)</f>
        <v>59</v>
      </c>
      <c r="S987" s="43" t="str">
        <f>VLOOKUP($D987,Sheet1!$M$5:$O$192,2,TRUE)</f>
        <v>'|).</v>
      </c>
      <c r="T987" s="117">
        <f>IF(ABS(D987-VLOOKUP($D987,Sheet1!$M$5:$T$192,8,TRUE))&lt;10^-10,"SoCA",D987-VLOOKUP($D987,Sheet1!$M$5:$T$192,8,TRUE))</f>
        <v>-0.14968722794076328</v>
      </c>
      <c r="U987" s="117">
        <f>IF(VLOOKUP($D987,Sheet1!$M$5:$U$192,9,TRUE)=0,"",IF(ABS(D987-VLOOKUP($D987,Sheet1!$M$5:$U$192,9,TRUE))&lt;10^-10,"Alt.",D987-VLOOKUP($D987,Sheet1!$M$5:$U$192,9,TRUE)))</f>
        <v>-0.17664752314319898</v>
      </c>
      <c r="V987" s="132">
        <f>$D987-Sheet1!$M$3*$R987</f>
        <v>-0.14178118099006198</v>
      </c>
      <c r="Z987" s="6"/>
      <c r="AA987" s="61"/>
    </row>
    <row r="988" spans="1:27" ht="13.5">
      <c r="A988" t="s">
        <v>820</v>
      </c>
      <c r="B988">
        <v>11583</v>
      </c>
      <c r="C988">
        <v>11776</v>
      </c>
      <c r="D988" s="13">
        <f t="shared" si="20"/>
        <v>28.608739672798393</v>
      </c>
      <c r="E988" s="61">
        <v>23</v>
      </c>
      <c r="F988" s="65">
        <v>57.155166193073576</v>
      </c>
      <c r="G988" s="6">
        <v>640</v>
      </c>
      <c r="H988" s="6">
        <v>667</v>
      </c>
      <c r="I988" s="65">
        <v>-5.7615443289674158</v>
      </c>
      <c r="J988" s="6">
        <f>VLOOKUP($D988,Sheet1!$A$5:$C$192,3,TRUE)</f>
        <v>5</v>
      </c>
      <c r="K988" s="42" t="str">
        <f>VLOOKUP($D988,Sheet1!$A$5:$C$192,2,TRUE)</f>
        <v>|)</v>
      </c>
      <c r="L988" s="6">
        <f>FLOOR(VLOOKUP($D988,Sheet1!$D$5:$F$192,3,TRUE),1)</f>
        <v>12</v>
      </c>
      <c r="M988" s="42" t="str">
        <f>VLOOKUP($D988,Sheet1!$D$5:$F$192,2,TRUE)</f>
        <v>)|)</v>
      </c>
      <c r="N988" s="23">
        <f>FLOOR(VLOOKUP($D988,Sheet1!$G$5:$I$192,3,TRUE),1)</f>
        <v>15</v>
      </c>
      <c r="O988" s="42" t="str">
        <f>VLOOKUP($D988,Sheet1!$G$5:$I$192,2,TRUE)</f>
        <v>'|)</v>
      </c>
      <c r="P988" s="23">
        <v>1</v>
      </c>
      <c r="Q988" s="43" t="str">
        <f>VLOOKUP($D988,Sheet1!$J$5:$L$192,2,TRUE)</f>
        <v>'|).</v>
      </c>
      <c r="R988" s="23">
        <f>FLOOR(VLOOKUP($D988,Sheet1!$M$5:$O$192,3,TRUE),1)</f>
        <v>59</v>
      </c>
      <c r="S988" s="43" t="str">
        <f>VLOOKUP($D988,Sheet1!$M$5:$O$192,2,TRUE)</f>
        <v>'|).</v>
      </c>
      <c r="T988" s="117">
        <f>IF(ABS(D988-VLOOKUP($D988,Sheet1!$M$5:$T$192,8,TRUE))&lt;10^-10,"SoCA",D988-VLOOKUP($D988,Sheet1!$M$5:$T$192,8,TRUE))</f>
        <v>-0.18635674928107804</v>
      </c>
      <c r="U988" s="109">
        <f>IF(VLOOKUP($D988,Sheet1!$M$5:$U$192,9,TRUE)=0,"",IF(ABS(D988-VLOOKUP($D988,Sheet1!$M$5:$U$192,9,TRUE))&lt;10^-10,"Alt.",D988-VLOOKUP($D988,Sheet1!$M$5:$U$192,9,TRUE)))</f>
        <v>-0.21331704448351374</v>
      </c>
      <c r="V988" s="132">
        <f>$D988-Sheet1!$M$3*$R988</f>
        <v>-0.17845070233037674</v>
      </c>
      <c r="Z988" s="6"/>
      <c r="AA988" s="61"/>
    </row>
    <row r="989" spans="1:27" ht="13.5">
      <c r="A989" s="21" t="s">
        <v>327</v>
      </c>
      <c r="B989" s="21">
        <f>2^5*13</f>
        <v>416</v>
      </c>
      <c r="C989" s="21">
        <f>3^2*47</f>
        <v>423</v>
      </c>
      <c r="D989" s="13">
        <f t="shared" si="20"/>
        <v>28.888961974629176</v>
      </c>
      <c r="E989" s="61">
        <v>47</v>
      </c>
      <c r="F989" s="65">
        <v>60.058887505103392</v>
      </c>
      <c r="G989" s="6">
        <v>178</v>
      </c>
      <c r="H989" s="6">
        <v>159</v>
      </c>
      <c r="I989" s="65">
        <v>0.22120136300343485</v>
      </c>
      <c r="J989" s="6">
        <f>VLOOKUP($D989,Sheet1!$A$5:$C$192,3,TRUE)</f>
        <v>5</v>
      </c>
      <c r="K989" s="42" t="str">
        <f>VLOOKUP($D989,Sheet1!$A$5:$C$192,2,TRUE)</f>
        <v>|)</v>
      </c>
      <c r="L989" s="6">
        <f>FLOOR(VLOOKUP($D989,Sheet1!$D$5:$F$192,3,TRUE),1)</f>
        <v>12</v>
      </c>
      <c r="M989" s="42" t="str">
        <f>VLOOKUP($D989,Sheet1!$D$5:$F$192,2,TRUE)</f>
        <v>)|)</v>
      </c>
      <c r="N989" s="23">
        <f>FLOOR(VLOOKUP($D989,Sheet1!$G$5:$I$192,3,TRUE),1)</f>
        <v>15</v>
      </c>
      <c r="O989" s="42" t="str">
        <f>VLOOKUP($D989,Sheet1!$G$5:$I$192,2,TRUE)</f>
        <v>'|)</v>
      </c>
      <c r="P989" s="23">
        <v>1</v>
      </c>
      <c r="Q989" s="43" t="str">
        <f>VLOOKUP($D989,Sheet1!$J$5:$L$192,2,TRUE)</f>
        <v>'|).</v>
      </c>
      <c r="R989" s="23">
        <f>FLOOR(VLOOKUP($D989,Sheet1!$M$5:$O$192,3,TRUE),1)</f>
        <v>59</v>
      </c>
      <c r="S989" s="43" t="str">
        <f>VLOOKUP($D989,Sheet1!$M$5:$O$192,2,TRUE)</f>
        <v>'|).</v>
      </c>
      <c r="T989" s="117">
        <f>IF(ABS(D989-VLOOKUP($D989,Sheet1!$M$5:$T$192,8,TRUE))&lt;10^-10,"SoCA",D989-VLOOKUP($D989,Sheet1!$M$5:$T$192,8,TRUE))</f>
        <v>9.3865552549704745E-2</v>
      </c>
      <c r="U989" s="109">
        <f>IF(VLOOKUP($D989,Sheet1!$M$5:$U$192,9,TRUE)=0,"",IF(ABS(D989-VLOOKUP($D989,Sheet1!$M$5:$U$192,9,TRUE))&lt;10^-10,"Alt.",D989-VLOOKUP($D989,Sheet1!$M$5:$U$192,9,TRUE)))</f>
        <v>6.6905257347269043E-2</v>
      </c>
      <c r="V989" s="132">
        <f>$D989-Sheet1!$M$3*$R989</f>
        <v>0.10177159950040604</v>
      </c>
      <c r="Z989" s="6"/>
      <c r="AA989" s="61"/>
    </row>
    <row r="990" spans="1:27" ht="13.5">
      <c r="A990" s="6" t="s">
        <v>378</v>
      </c>
      <c r="B990" s="6">
        <f>2^2*3*5</f>
        <v>60</v>
      </c>
      <c r="C990" s="6">
        <v>61</v>
      </c>
      <c r="D990" s="13">
        <f t="shared" si="20"/>
        <v>28.616090345241201</v>
      </c>
      <c r="E990" s="61" t="s">
        <v>1931</v>
      </c>
      <c r="F990" s="65">
        <v>66.102368603405296</v>
      </c>
      <c r="G990" s="6">
        <v>233</v>
      </c>
      <c r="H990" s="6">
        <v>213</v>
      </c>
      <c r="I990" s="65">
        <v>-2.7619969366496773</v>
      </c>
      <c r="J990" s="6">
        <f>VLOOKUP($D990,Sheet1!$A$5:$C$192,3,TRUE)</f>
        <v>5</v>
      </c>
      <c r="K990" s="42" t="str">
        <f>VLOOKUP($D990,Sheet1!$A$5:$C$192,2,TRUE)</f>
        <v>|)</v>
      </c>
      <c r="L990" s="6">
        <f>FLOOR(VLOOKUP($D990,Sheet1!$D$5:$F$192,3,TRUE),1)</f>
        <v>12</v>
      </c>
      <c r="M990" s="42" t="str">
        <f>VLOOKUP($D990,Sheet1!$D$5:$F$192,2,TRUE)</f>
        <v>)|)</v>
      </c>
      <c r="N990" s="23">
        <f>FLOOR(VLOOKUP($D990,Sheet1!$G$5:$I$192,3,TRUE),1)</f>
        <v>15</v>
      </c>
      <c r="O990" s="42" t="str">
        <f>VLOOKUP($D990,Sheet1!$G$5:$I$192,2,TRUE)</f>
        <v>'|)</v>
      </c>
      <c r="P990" s="23">
        <v>1</v>
      </c>
      <c r="Q990" s="43" t="str">
        <f>VLOOKUP($D990,Sheet1!$J$5:$L$192,2,TRUE)</f>
        <v>'|).</v>
      </c>
      <c r="R990" s="23">
        <f>FLOOR(VLOOKUP($D990,Sheet1!$M$5:$O$192,3,TRUE),1)</f>
        <v>59</v>
      </c>
      <c r="S990" s="42" t="str">
        <f>VLOOKUP($D990,Sheet1!$M$5:$O$192,2,TRUE)</f>
        <v>'|).</v>
      </c>
      <c r="T990" s="117">
        <f>IF(ABS(D990-VLOOKUP($D990,Sheet1!$M$5:$T$192,8,TRUE))&lt;10^-10,"SoCA",D990-VLOOKUP($D990,Sheet1!$M$5:$T$192,8,TRUE))</f>
        <v>-0.17900607683827019</v>
      </c>
      <c r="U990" s="109">
        <f>IF(VLOOKUP($D990,Sheet1!$M$5:$U$192,9,TRUE)=0,"",IF(ABS(D990-VLOOKUP($D990,Sheet1!$M$5:$U$192,9,TRUE))&lt;10^-10,"Alt.",D990-VLOOKUP($D990,Sheet1!$M$5:$U$192,9,TRUE)))</f>
        <v>-0.20596637204070589</v>
      </c>
      <c r="V990" s="132">
        <f>$D990-Sheet1!$M$3*$R990</f>
        <v>-0.17110002988756889</v>
      </c>
      <c r="Z990" s="6"/>
      <c r="AA990" s="61"/>
    </row>
    <row r="991" spans="1:27" ht="13.5">
      <c r="A991" t="s">
        <v>956</v>
      </c>
      <c r="B991">
        <v>3904</v>
      </c>
      <c r="C991">
        <v>3969</v>
      </c>
      <c r="D991" s="13">
        <f t="shared" si="20"/>
        <v>28.587011324336164</v>
      </c>
      <c r="E991" s="61" t="s">
        <v>1931</v>
      </c>
      <c r="F991" s="65">
        <v>90.24864183586709</v>
      </c>
      <c r="G991" s="6">
        <v>866</v>
      </c>
      <c r="H991" s="6">
        <v>804</v>
      </c>
      <c r="I991" s="65">
        <v>2.2397935646080871</v>
      </c>
      <c r="J991" s="6">
        <f>VLOOKUP($D991,Sheet1!$A$5:$C$192,3,TRUE)</f>
        <v>5</v>
      </c>
      <c r="K991" s="42" t="str">
        <f>VLOOKUP($D991,Sheet1!$A$5:$C$192,2,TRUE)</f>
        <v>|)</v>
      </c>
      <c r="L991" s="6">
        <f>FLOOR(VLOOKUP($D991,Sheet1!$D$5:$F$192,3,TRUE),1)</f>
        <v>12</v>
      </c>
      <c r="M991" s="42" t="str">
        <f>VLOOKUP($D991,Sheet1!$D$5:$F$192,2,TRUE)</f>
        <v>)|)</v>
      </c>
      <c r="N991" s="23">
        <f>FLOOR(VLOOKUP($D991,Sheet1!$G$5:$I$192,3,TRUE),1)</f>
        <v>15</v>
      </c>
      <c r="O991" s="42" t="str">
        <f>VLOOKUP($D991,Sheet1!$G$5:$I$192,2,TRUE)</f>
        <v>'|)</v>
      </c>
      <c r="P991" s="23">
        <v>1</v>
      </c>
      <c r="Q991" s="43" t="str">
        <f>VLOOKUP($D991,Sheet1!$J$5:$L$192,2,TRUE)</f>
        <v>'|).</v>
      </c>
      <c r="R991" s="23">
        <f>FLOOR(VLOOKUP($D991,Sheet1!$M$5:$O$192,3,TRUE),1)</f>
        <v>59</v>
      </c>
      <c r="S991" s="42" t="str">
        <f>VLOOKUP($D991,Sheet1!$M$5:$O$192,2,TRUE)</f>
        <v>'|).</v>
      </c>
      <c r="T991" s="117">
        <f>IF(ABS(D991-VLOOKUP($D991,Sheet1!$M$5:$T$192,8,TRUE))&lt;10^-10,"SoCA",D991-VLOOKUP($D991,Sheet1!$M$5:$T$192,8,TRUE))</f>
        <v>-0.2080850977433073</v>
      </c>
      <c r="U991" s="109">
        <f>IF(VLOOKUP($D991,Sheet1!$M$5:$U$192,9,TRUE)=0,"",IF(ABS(D991-VLOOKUP($D991,Sheet1!$M$5:$U$192,9,TRUE))&lt;10^-10,"Alt.",D991-VLOOKUP($D991,Sheet1!$M$5:$U$192,9,TRUE)))</f>
        <v>-0.235045392945743</v>
      </c>
      <c r="V991" s="132">
        <f>$D991-Sheet1!$M$3*$R991</f>
        <v>-0.20017905079260601</v>
      </c>
      <c r="Z991" s="6"/>
      <c r="AA991" s="61"/>
    </row>
    <row r="992" spans="1:27" ht="13.5">
      <c r="A992" t="s">
        <v>1347</v>
      </c>
      <c r="B992">
        <v>471040</v>
      </c>
      <c r="C992">
        <v>478953</v>
      </c>
      <c r="D992" s="13">
        <f t="shared" si="20"/>
        <v>28.841416445869719</v>
      </c>
      <c r="E992" s="61" t="s">
        <v>1931</v>
      </c>
      <c r="F992" s="65">
        <v>125.43426359702261</v>
      </c>
      <c r="G992" s="6">
        <v>1259</v>
      </c>
      <c r="H992" s="6">
        <v>1196</v>
      </c>
      <c r="I992" s="65">
        <v>6.2241289144269469</v>
      </c>
      <c r="J992" s="6">
        <f>VLOOKUP($D992,Sheet1!$A$5:$C$192,3,TRUE)</f>
        <v>5</v>
      </c>
      <c r="K992" s="42" t="str">
        <f>VLOOKUP($D992,Sheet1!$A$5:$C$192,2,TRUE)</f>
        <v>|)</v>
      </c>
      <c r="L992" s="6">
        <f>FLOOR(VLOOKUP($D992,Sheet1!$D$5:$F$192,3,TRUE),1)</f>
        <v>12</v>
      </c>
      <c r="M992" s="42" t="str">
        <f>VLOOKUP($D992,Sheet1!$D$5:$F$192,2,TRUE)</f>
        <v>)|)</v>
      </c>
      <c r="N992" s="23">
        <f>FLOOR(VLOOKUP($D992,Sheet1!$G$5:$I$192,3,TRUE),1)</f>
        <v>15</v>
      </c>
      <c r="O992" s="42" t="str">
        <f>VLOOKUP($D992,Sheet1!$G$5:$I$192,2,TRUE)</f>
        <v>'|)</v>
      </c>
      <c r="P992" s="23">
        <v>1</v>
      </c>
      <c r="Q992" s="43" t="str">
        <f>VLOOKUP($D992,Sheet1!$J$5:$L$192,2,TRUE)</f>
        <v>'|).</v>
      </c>
      <c r="R992" s="23">
        <f>FLOOR(VLOOKUP($D992,Sheet1!$M$5:$O$192,3,TRUE),1)</f>
        <v>59</v>
      </c>
      <c r="S992" s="42" t="str">
        <f>VLOOKUP($D992,Sheet1!$M$5:$O$192,2,TRUE)</f>
        <v>'|).</v>
      </c>
      <c r="T992" s="117">
        <f>IF(ABS(D992-VLOOKUP($D992,Sheet1!$M$5:$T$192,8,TRUE))&lt;10^-10,"SoCA",D992-VLOOKUP($D992,Sheet1!$M$5:$T$192,8,TRUE))</f>
        <v>4.6320023790247689E-2</v>
      </c>
      <c r="U992" s="109">
        <f>IF(VLOOKUP($D992,Sheet1!$M$5:$U$192,9,TRUE)=0,"",IF(ABS(D992-VLOOKUP($D992,Sheet1!$M$5:$U$192,9,TRUE))&lt;10^-10,"Alt.",D992-VLOOKUP($D992,Sheet1!$M$5:$U$192,9,TRUE)))</f>
        <v>1.9359728587811986E-2</v>
      </c>
      <c r="V992" s="132">
        <f>$D992-Sheet1!$M$3*$R992</f>
        <v>5.4226070740948984E-2</v>
      </c>
      <c r="Z992" s="6"/>
      <c r="AA992" s="61"/>
    </row>
    <row r="993" spans="1:27" ht="13.5">
      <c r="A993" t="s">
        <v>1022</v>
      </c>
      <c r="B993">
        <v>10449</v>
      </c>
      <c r="C993">
        <v>10624</v>
      </c>
      <c r="D993" s="13">
        <f t="shared" si="20"/>
        <v>28.754607646855071</v>
      </c>
      <c r="E993" s="61" t="s">
        <v>1931</v>
      </c>
      <c r="F993" s="65">
        <v>127.89205028092071</v>
      </c>
      <c r="G993" s="6">
        <v>786</v>
      </c>
      <c r="H993" s="6">
        <v>870</v>
      </c>
      <c r="I993" s="65">
        <v>-6.7705259515560474</v>
      </c>
      <c r="J993" s="6">
        <f>VLOOKUP($D993,Sheet1!$A$5:$C$192,3,TRUE)</f>
        <v>5</v>
      </c>
      <c r="K993" s="42" t="str">
        <f>VLOOKUP($D993,Sheet1!$A$5:$C$192,2,TRUE)</f>
        <v>|)</v>
      </c>
      <c r="L993" s="6">
        <f>FLOOR(VLOOKUP($D993,Sheet1!$D$5:$F$192,3,TRUE),1)</f>
        <v>12</v>
      </c>
      <c r="M993" s="42" t="str">
        <f>VLOOKUP($D993,Sheet1!$D$5:$F$192,2,TRUE)</f>
        <v>)|)</v>
      </c>
      <c r="N993" s="23">
        <f>FLOOR(VLOOKUP($D993,Sheet1!$G$5:$I$192,3,TRUE),1)</f>
        <v>15</v>
      </c>
      <c r="O993" s="42" t="str">
        <f>VLOOKUP($D993,Sheet1!$G$5:$I$192,2,TRUE)</f>
        <v>'|)</v>
      </c>
      <c r="P993" s="23">
        <v>1</v>
      </c>
      <c r="Q993" s="43" t="str">
        <f>VLOOKUP($D993,Sheet1!$J$5:$L$192,2,TRUE)</f>
        <v>'|).</v>
      </c>
      <c r="R993" s="23">
        <f>FLOOR(VLOOKUP($D993,Sheet1!$M$5:$O$192,3,TRUE),1)</f>
        <v>59</v>
      </c>
      <c r="S993" s="42" t="str">
        <f>VLOOKUP($D993,Sheet1!$M$5:$O$192,2,TRUE)</f>
        <v>'|).</v>
      </c>
      <c r="T993" s="117">
        <f>IF(ABS(D993-VLOOKUP($D993,Sheet1!$M$5:$T$192,8,TRUE))&lt;10^-10,"SoCA",D993-VLOOKUP($D993,Sheet1!$M$5:$T$192,8,TRUE))</f>
        <v>-4.0488775224400086E-2</v>
      </c>
      <c r="U993" s="109">
        <f>IF(VLOOKUP($D993,Sheet1!$M$5:$U$192,9,TRUE)=0,"",IF(ABS(D993-VLOOKUP($D993,Sheet1!$M$5:$U$192,9,TRUE))&lt;10^-10,"Alt.",D993-VLOOKUP($D993,Sheet1!$M$5:$U$192,9,TRUE)))</f>
        <v>-6.7449070426835789E-2</v>
      </c>
      <c r="V993" s="132">
        <f>$D993-Sheet1!$M$3*$R993</f>
        <v>-3.2582728273698791E-2</v>
      </c>
      <c r="Z993" s="6"/>
      <c r="AA993" s="61"/>
    </row>
    <row r="994" spans="1:27" ht="13.5">
      <c r="A994" s="6" t="s">
        <v>1854</v>
      </c>
      <c r="B994">
        <v>2578473</v>
      </c>
      <c r="C994">
        <v>2621440</v>
      </c>
      <c r="D994" s="13">
        <f t="shared" si="20"/>
        <v>28.611104231407552</v>
      </c>
      <c r="E994" s="61" t="s">
        <v>1931</v>
      </c>
      <c r="F994" s="65">
        <v>166.59697617388991</v>
      </c>
      <c r="G994" s="59">
        <v>1686</v>
      </c>
      <c r="H994" s="63">
        <v>1000059</v>
      </c>
      <c r="I994" s="65">
        <v>-10.761689923455538</v>
      </c>
      <c r="J994" s="6">
        <f>VLOOKUP($D994,Sheet1!$A$5:$C$192,3,TRUE)</f>
        <v>5</v>
      </c>
      <c r="K994" s="42" t="str">
        <f>VLOOKUP($D994,Sheet1!$A$5:$C$192,2,TRUE)</f>
        <v>|)</v>
      </c>
      <c r="L994" s="6">
        <f>FLOOR(VLOOKUP($D994,Sheet1!$D$5:$F$192,3,TRUE),1)</f>
        <v>12</v>
      </c>
      <c r="M994" s="42" t="str">
        <f>VLOOKUP($D994,Sheet1!$D$5:$F$192,2,TRUE)</f>
        <v>)|)</v>
      </c>
      <c r="N994" s="23">
        <f>FLOOR(VLOOKUP($D994,Sheet1!$G$5:$I$192,3,TRUE),1)</f>
        <v>15</v>
      </c>
      <c r="O994" s="42" t="str">
        <f>VLOOKUP($D994,Sheet1!$G$5:$I$192,2,TRUE)</f>
        <v>'|)</v>
      </c>
      <c r="P994" s="23">
        <v>1</v>
      </c>
      <c r="Q994" s="43" t="str">
        <f>VLOOKUP($D994,Sheet1!$J$5:$L$192,2,TRUE)</f>
        <v>'|).</v>
      </c>
      <c r="R994" s="23">
        <f>FLOOR(VLOOKUP($D994,Sheet1!$M$5:$O$192,3,TRUE),1)</f>
        <v>59</v>
      </c>
      <c r="S994" s="42" t="str">
        <f>VLOOKUP($D994,Sheet1!$M$5:$O$192,2,TRUE)</f>
        <v>'|).</v>
      </c>
      <c r="T994" s="117">
        <f>IF(ABS(D994-VLOOKUP($D994,Sheet1!$M$5:$T$192,8,TRUE))&lt;10^-10,"SoCA",D994-VLOOKUP($D994,Sheet1!$M$5:$T$192,8,TRUE))</f>
        <v>-0.18399219067191908</v>
      </c>
      <c r="U994" s="109">
        <f>IF(VLOOKUP($D994,Sheet1!$M$5:$U$192,9,TRUE)=0,"",IF(ABS(D994-VLOOKUP($D994,Sheet1!$M$5:$U$192,9,TRUE))&lt;10^-10,"Alt.",D994-VLOOKUP($D994,Sheet1!$M$5:$U$192,9,TRUE)))</f>
        <v>-0.21095248587435478</v>
      </c>
      <c r="V994" s="132">
        <f>$D994-Sheet1!$M$3*$R994</f>
        <v>-0.17608614372121778</v>
      </c>
      <c r="Z994" s="6"/>
      <c r="AA994" s="61"/>
    </row>
    <row r="995" spans="1:27" ht="13.5">
      <c r="A995" t="s">
        <v>1714</v>
      </c>
      <c r="B995">
        <v>636417</v>
      </c>
      <c r="C995">
        <v>647168</v>
      </c>
      <c r="D995" s="13">
        <f t="shared" si="20"/>
        <v>29.001480264870892</v>
      </c>
      <c r="E995" s="61" t="s">
        <v>1931</v>
      </c>
      <c r="F995" s="65">
        <v>192.29751365691448</v>
      </c>
      <c r="G995" s="6">
        <v>1625</v>
      </c>
      <c r="H995" s="6">
        <v>1563</v>
      </c>
      <c r="I995" s="65">
        <v>-9.7857267980531972</v>
      </c>
      <c r="J995" s="6">
        <f>VLOOKUP($D995,Sheet1!$A$5:$C$192,3,TRUE)</f>
        <v>5</v>
      </c>
      <c r="K995" s="42" t="str">
        <f>VLOOKUP($D995,Sheet1!$A$5:$C$192,2,TRUE)</f>
        <v>|)</v>
      </c>
      <c r="L995" s="6">
        <f>FLOOR(VLOOKUP($D995,Sheet1!$D$5:$F$192,3,TRUE),1)</f>
        <v>12</v>
      </c>
      <c r="M995" s="42" t="str">
        <f>VLOOKUP($D995,Sheet1!$D$5:$F$192,2,TRUE)</f>
        <v>)|)</v>
      </c>
      <c r="N995" s="23">
        <f>FLOOR(VLOOKUP($D995,Sheet1!$G$5:$I$192,3,TRUE),1)</f>
        <v>15</v>
      </c>
      <c r="O995" s="42" t="str">
        <f>VLOOKUP($D995,Sheet1!$G$5:$I$192,2,TRUE)</f>
        <v>'|)</v>
      </c>
      <c r="P995" s="23">
        <v>1</v>
      </c>
      <c r="Q995" s="43" t="str">
        <f>VLOOKUP($D995,Sheet1!$J$5:$L$192,2,TRUE)</f>
        <v>'|).</v>
      </c>
      <c r="R995" s="23">
        <f>FLOOR(VLOOKUP($D995,Sheet1!$M$5:$O$192,3,TRUE),1)</f>
        <v>59</v>
      </c>
      <c r="S995" s="42" t="str">
        <f>VLOOKUP($D995,Sheet1!$M$5:$O$192,2,TRUE)</f>
        <v>'|).</v>
      </c>
      <c r="T995" s="117">
        <f>IF(ABS(D995-VLOOKUP($D995,Sheet1!$M$5:$T$192,8,TRUE))&lt;10^-10,"SoCA",D995-VLOOKUP($D995,Sheet1!$M$5:$T$192,8,TRUE))</f>
        <v>0.2063838427914213</v>
      </c>
      <c r="U995" s="109">
        <f>IF(VLOOKUP($D995,Sheet1!$M$5:$U$192,9,TRUE)=0,"",IF(ABS(D995-VLOOKUP($D995,Sheet1!$M$5:$U$192,9,TRUE))&lt;10^-10,"Alt.",D995-VLOOKUP($D995,Sheet1!$M$5:$U$192,9,TRUE)))</f>
        <v>0.1794235475889856</v>
      </c>
      <c r="V995" s="132">
        <f>$D995-Sheet1!$M$3*$R995</f>
        <v>0.2142898897421226</v>
      </c>
      <c r="Z995" s="6"/>
      <c r="AA995" s="61"/>
    </row>
    <row r="996" spans="1:27" ht="13.5">
      <c r="A996" t="s">
        <v>1349</v>
      </c>
      <c r="B996">
        <v>342016</v>
      </c>
      <c r="C996">
        <v>347733</v>
      </c>
      <c r="D996" s="13">
        <f t="shared" si="20"/>
        <v>28.699401430075692</v>
      </c>
      <c r="E996" s="61" t="s">
        <v>1931</v>
      </c>
      <c r="F996" s="65">
        <v>224.94263940758097</v>
      </c>
      <c r="G996" s="6">
        <v>1261</v>
      </c>
      <c r="H996" s="6">
        <v>1198</v>
      </c>
      <c r="I996" s="65">
        <v>6.2328732963382567</v>
      </c>
      <c r="J996" s="6">
        <f>VLOOKUP($D996,Sheet1!$A$5:$C$192,3,TRUE)</f>
        <v>5</v>
      </c>
      <c r="K996" s="42" t="str">
        <f>VLOOKUP($D996,Sheet1!$A$5:$C$192,2,TRUE)</f>
        <v>|)</v>
      </c>
      <c r="L996" s="6">
        <f>FLOOR(VLOOKUP($D996,Sheet1!$D$5:$F$192,3,TRUE),1)</f>
        <v>12</v>
      </c>
      <c r="M996" s="42" t="str">
        <f>VLOOKUP($D996,Sheet1!$D$5:$F$192,2,TRUE)</f>
        <v>)|)</v>
      </c>
      <c r="N996" s="23">
        <f>FLOOR(VLOOKUP($D996,Sheet1!$G$5:$I$192,3,TRUE),1)</f>
        <v>15</v>
      </c>
      <c r="O996" s="42" t="str">
        <f>VLOOKUP($D996,Sheet1!$G$5:$I$192,2,TRUE)</f>
        <v>'|)</v>
      </c>
      <c r="P996" s="23">
        <v>1</v>
      </c>
      <c r="Q996" s="43" t="str">
        <f>VLOOKUP($D996,Sheet1!$J$5:$L$192,2,TRUE)</f>
        <v>'|).</v>
      </c>
      <c r="R996" s="23">
        <f>FLOOR(VLOOKUP($D996,Sheet1!$M$5:$O$192,3,TRUE),1)</f>
        <v>59</v>
      </c>
      <c r="S996" s="42" t="str">
        <f>VLOOKUP($D996,Sheet1!$M$5:$O$192,2,TRUE)</f>
        <v>'|).</v>
      </c>
      <c r="T996" s="117">
        <f>IF(ABS(D996-VLOOKUP($D996,Sheet1!$M$5:$T$192,8,TRUE))&lt;10^-10,"SoCA",D996-VLOOKUP($D996,Sheet1!$M$5:$T$192,8,TRUE))</f>
        <v>-9.5694992003778623E-2</v>
      </c>
      <c r="U996" s="109">
        <f>IF(VLOOKUP($D996,Sheet1!$M$5:$U$192,9,TRUE)=0,"",IF(ABS(D996-VLOOKUP($D996,Sheet1!$M$5:$U$192,9,TRUE))&lt;10^-10,"Alt.",D996-VLOOKUP($D996,Sheet1!$M$5:$U$192,9,TRUE)))</f>
        <v>-0.12265528720621433</v>
      </c>
      <c r="V996" s="132">
        <f>$D996-Sheet1!$M$3*$R996</f>
        <v>-8.7788945053077327E-2</v>
      </c>
      <c r="Z996" s="6"/>
      <c r="AA996" s="61"/>
    </row>
    <row r="997" spans="1:27" ht="13.5">
      <c r="A997" t="s">
        <v>905</v>
      </c>
      <c r="B997">
        <v>524288</v>
      </c>
      <c r="C997">
        <v>533029</v>
      </c>
      <c r="D997" s="13">
        <f t="shared" si="20"/>
        <v>28.625401066207772</v>
      </c>
      <c r="E997" s="61" t="s">
        <v>1931</v>
      </c>
      <c r="F997" s="65">
        <v>106615.73639405119</v>
      </c>
      <c r="G997" s="6">
        <v>812</v>
      </c>
      <c r="H997" s="6">
        <v>753</v>
      </c>
      <c r="I997" s="65">
        <v>-1.7625702316603922</v>
      </c>
      <c r="J997" s="6">
        <f>VLOOKUP($D997,Sheet1!$A$5:$C$192,3,TRUE)</f>
        <v>5</v>
      </c>
      <c r="K997" s="42" t="str">
        <f>VLOOKUP($D997,Sheet1!$A$5:$C$192,2,TRUE)</f>
        <v>|)</v>
      </c>
      <c r="L997" s="6">
        <f>FLOOR(VLOOKUP($D997,Sheet1!$D$5:$F$192,3,TRUE),1)</f>
        <v>12</v>
      </c>
      <c r="M997" s="42" t="str">
        <f>VLOOKUP($D997,Sheet1!$D$5:$F$192,2,TRUE)</f>
        <v>)|)</v>
      </c>
      <c r="N997" s="23">
        <f>FLOOR(VLOOKUP($D997,Sheet1!$G$5:$I$192,3,TRUE),1)</f>
        <v>15</v>
      </c>
      <c r="O997" s="42" t="str">
        <f>VLOOKUP($D997,Sheet1!$G$5:$I$192,2,TRUE)</f>
        <v>'|)</v>
      </c>
      <c r="P997" s="23">
        <v>1</v>
      </c>
      <c r="Q997" s="43" t="str">
        <f>VLOOKUP($D997,Sheet1!$J$5:$L$192,2,TRUE)</f>
        <v>'|).</v>
      </c>
      <c r="R997" s="23">
        <f>FLOOR(VLOOKUP($D997,Sheet1!$M$5:$O$192,3,TRUE),1)</f>
        <v>59</v>
      </c>
      <c r="S997" s="42" t="str">
        <f>VLOOKUP($D997,Sheet1!$M$5:$O$192,2,TRUE)</f>
        <v>'|).</v>
      </c>
      <c r="T997" s="117">
        <f>IF(ABS(D997-VLOOKUP($D997,Sheet1!$M$5:$T$192,8,TRUE))&lt;10^-10,"SoCA",D997-VLOOKUP($D997,Sheet1!$M$5:$T$192,8,TRUE))</f>
        <v>-0.16969535587169915</v>
      </c>
      <c r="U997" s="109">
        <f>IF(VLOOKUP($D997,Sheet1!$M$5:$U$192,9,TRUE)=0,"",IF(ABS(D997-VLOOKUP($D997,Sheet1!$M$5:$U$192,9,TRUE))&lt;10^-10,"Alt.",D997-VLOOKUP($D997,Sheet1!$M$5:$U$192,9,TRUE)))</f>
        <v>-0.19665565107413485</v>
      </c>
      <c r="V997" s="132">
        <f>$D997-Sheet1!$M$3*$R997</f>
        <v>-0.16178930892099785</v>
      </c>
      <c r="Z997" s="6"/>
      <c r="AA997" s="61"/>
    </row>
    <row r="998" spans="1:27" ht="13.5">
      <c r="A998" s="48" t="s">
        <v>120</v>
      </c>
      <c r="B998" s="48">
        <f>2^9*7</f>
        <v>3584</v>
      </c>
      <c r="C998" s="48">
        <f>3^6*5</f>
        <v>3645</v>
      </c>
      <c r="D998" s="51">
        <f t="shared" si="20"/>
        <v>29.217812588034239</v>
      </c>
      <c r="E998" s="61">
        <v>7</v>
      </c>
      <c r="F998" s="65">
        <v>12.600586136088811</v>
      </c>
      <c r="G998" s="6">
        <v>9</v>
      </c>
      <c r="H998" s="6">
        <v>9</v>
      </c>
      <c r="I998" s="65">
        <v>4.2009528326680723</v>
      </c>
      <c r="J998" s="23">
        <f>VLOOKUP($D998,Sheet1!$A$5:$C$192,3,TRUE)</f>
        <v>5</v>
      </c>
      <c r="K998" s="43" t="str">
        <f>VLOOKUP($D998,Sheet1!$A$5:$C$192,2,TRUE)</f>
        <v>|)</v>
      </c>
      <c r="L998" s="6">
        <f>FLOOR(VLOOKUP($D998,Sheet1!$D$5:$F$192,3,TRUE),1)</f>
        <v>12</v>
      </c>
      <c r="M998" s="43" t="str">
        <f>VLOOKUP($D998,Sheet1!$D$5:$F$192,2,TRUE)</f>
        <v>)|)</v>
      </c>
      <c r="N998" s="39">
        <f>FLOOR(VLOOKUP($D998,Sheet1!$G$5:$I$192,3,TRUE),1)</f>
        <v>15</v>
      </c>
      <c r="O998" s="44" t="str">
        <f>VLOOKUP($D998,Sheet1!$G$5:$I$192,2,TRUE)</f>
        <v>'|)</v>
      </c>
      <c r="P998" s="39">
        <v>1</v>
      </c>
      <c r="Q998" s="44" t="str">
        <f>VLOOKUP($D998,Sheet1!$J$5:$L$192,2,TRUE)</f>
        <v>'|)</v>
      </c>
      <c r="R998" s="39">
        <f>FLOOR(VLOOKUP($D998,Sheet1!$M$5:$O$192,3,TRUE),1)</f>
        <v>60</v>
      </c>
      <c r="S998" s="44" t="str">
        <f>VLOOKUP($D998,Sheet1!$M$5:$O$192,2,TRUE)</f>
        <v>'|)</v>
      </c>
      <c r="T998" s="113" t="str">
        <f>IF(ABS(D998-VLOOKUP($D998,Sheet1!$M$5:$T$192,8,TRUE))&lt;10^-10,"SoCA",D998-VLOOKUP($D998,Sheet1!$M$5:$T$192,8,TRUE))</f>
        <v>SoCA</v>
      </c>
      <c r="U998" s="118" t="str">
        <f>IF(VLOOKUP($D998,Sheet1!$M$5:$U$192,9,TRUE)=0,"",IF(ABS(D998-VLOOKUP($D998,Sheet1!$M$5:$U$192,9,TRUE))&lt;10^-10,"Alt.",D998-VLOOKUP($D998,Sheet1!$M$5:$U$192,9,TRUE)))</f>
        <v/>
      </c>
      <c r="V998" s="136">
        <f>$D998-Sheet1!$M$3*$R998</f>
        <v>-5.7296268028917297E-2</v>
      </c>
      <c r="Z998" s="6"/>
      <c r="AA998" s="61"/>
    </row>
    <row r="999" spans="1:27" ht="13.5">
      <c r="A999" s="23" t="s">
        <v>374</v>
      </c>
      <c r="B999" s="23">
        <f>3^5*29</f>
        <v>7047</v>
      </c>
      <c r="C999" s="23">
        <f>2^10*7</f>
        <v>7168</v>
      </c>
      <c r="D999" s="13">
        <f t="shared" si="20"/>
        <v>29.473707989101239</v>
      </c>
      <c r="E999" s="61">
        <v>29</v>
      </c>
      <c r="F999" s="65">
        <v>37.452666109103745</v>
      </c>
      <c r="G999" s="6">
        <v>204</v>
      </c>
      <c r="H999" s="6">
        <v>209</v>
      </c>
      <c r="I999" s="65">
        <v>-6.8148035794533257</v>
      </c>
      <c r="J999" s="6">
        <f>VLOOKUP($D999,Sheet1!$A$5:$C$192,3,TRUE)</f>
        <v>5</v>
      </c>
      <c r="K999" s="42" t="str">
        <f>VLOOKUP($D999,Sheet1!$A$5:$C$192,2,TRUE)</f>
        <v>|)</v>
      </c>
      <c r="L999" s="6">
        <f>FLOOR(VLOOKUP($D999,Sheet1!$D$5:$F$192,3,TRUE),1)</f>
        <v>12</v>
      </c>
      <c r="M999" s="42" t="str">
        <f>VLOOKUP($D999,Sheet1!$D$5:$F$192,2,TRUE)</f>
        <v>)|)</v>
      </c>
      <c r="N999" s="23">
        <f>FLOOR(VLOOKUP($D999,Sheet1!$G$5:$I$192,3,TRUE),1)</f>
        <v>15</v>
      </c>
      <c r="O999" s="42" t="str">
        <f>VLOOKUP($D999,Sheet1!$G$5:$I$192,2,TRUE)</f>
        <v>'|)</v>
      </c>
      <c r="P999" s="23">
        <v>1</v>
      </c>
      <c r="Q999" s="43" t="str">
        <f>VLOOKUP($D999,Sheet1!$J$5:$L$192,2,TRUE)</f>
        <v>'|)</v>
      </c>
      <c r="R999" s="23">
        <f>FLOOR(VLOOKUP($D999,Sheet1!$M$5:$O$192,3,TRUE),1)</f>
        <v>60</v>
      </c>
      <c r="S999" s="43" t="str">
        <f>VLOOKUP($D999,Sheet1!$M$5:$O$192,2,TRUE)</f>
        <v>'|)</v>
      </c>
      <c r="T999" s="117">
        <f>IF(ABS(D999-VLOOKUP($D999,Sheet1!$M$5:$T$192,8,TRUE))&lt;10^-10,"SoCA",D999-VLOOKUP($D999,Sheet1!$M$5:$T$192,8,TRUE))</f>
        <v>0.25589540106694386</v>
      </c>
      <c r="U999" s="117" t="str">
        <f>IF(VLOOKUP($D999,Sheet1!$M$5:$U$192,9,TRUE)=0,"",IF(ABS(D999-VLOOKUP($D999,Sheet1!$M$5:$U$192,9,TRUE))&lt;10^-10,"Alt.",D999-VLOOKUP($D999,Sheet1!$M$5:$U$192,9,TRUE)))</f>
        <v/>
      </c>
      <c r="V999" s="132">
        <f>$D999-Sheet1!$M$3*$R999</f>
        <v>0.19859913303808341</v>
      </c>
      <c r="Z999" s="6"/>
      <c r="AA999" s="61"/>
    </row>
    <row r="1000" spans="1:27" ht="13.5">
      <c r="A1000" t="s">
        <v>1222</v>
      </c>
      <c r="B1000">
        <v>161109</v>
      </c>
      <c r="C1000">
        <v>163840</v>
      </c>
      <c r="D1000" s="13">
        <f t="shared" si="20"/>
        <v>29.100637402792604</v>
      </c>
      <c r="E1000" s="61">
        <v>17</v>
      </c>
      <c r="F1000" s="65">
        <v>44.84855825202829</v>
      </c>
      <c r="G1000" s="6">
        <v>1006</v>
      </c>
      <c r="H1000" s="6">
        <v>1071</v>
      </c>
      <c r="I1000" s="65">
        <v>-7.7918322642841584</v>
      </c>
      <c r="J1000" s="6">
        <f>VLOOKUP($D1000,Sheet1!$A$5:$C$192,3,TRUE)</f>
        <v>5</v>
      </c>
      <c r="K1000" s="42" t="str">
        <f>VLOOKUP($D1000,Sheet1!$A$5:$C$192,2,TRUE)</f>
        <v>|)</v>
      </c>
      <c r="L1000" s="6">
        <f>FLOOR(VLOOKUP($D1000,Sheet1!$D$5:$F$192,3,TRUE),1)</f>
        <v>12</v>
      </c>
      <c r="M1000" s="42" t="str">
        <f>VLOOKUP($D1000,Sheet1!$D$5:$F$192,2,TRUE)</f>
        <v>)|)</v>
      </c>
      <c r="N1000" s="23">
        <f>FLOOR(VLOOKUP($D1000,Sheet1!$G$5:$I$192,3,TRUE),1)</f>
        <v>15</v>
      </c>
      <c r="O1000" s="42" t="str">
        <f>VLOOKUP($D1000,Sheet1!$G$5:$I$192,2,TRUE)</f>
        <v>'|)</v>
      </c>
      <c r="P1000" s="23">
        <v>1</v>
      </c>
      <c r="Q1000" s="43" t="str">
        <f>VLOOKUP($D1000,Sheet1!$J$5:$L$192,2,TRUE)</f>
        <v>'|)</v>
      </c>
      <c r="R1000" s="23">
        <f>FLOOR(VLOOKUP($D1000,Sheet1!$M$5:$O$192,3,TRUE),1)</f>
        <v>60</v>
      </c>
      <c r="S1000" s="42" t="str">
        <f>VLOOKUP($D1000,Sheet1!$M$5:$O$192,2,TRUE)</f>
        <v>'|)</v>
      </c>
      <c r="T1000" s="117">
        <f>IF(ABS(D1000-VLOOKUP($D1000,Sheet1!$M$5:$T$192,8,TRUE))&lt;10^-10,"SoCA",D1000-VLOOKUP($D1000,Sheet1!$M$5:$T$192,8,TRUE))</f>
        <v>-0.11717518524169179</v>
      </c>
      <c r="U1000" s="109" t="str">
        <f>IF(VLOOKUP($D1000,Sheet1!$M$5:$U$192,9,TRUE)=0,"",IF(ABS(D1000-VLOOKUP($D1000,Sheet1!$M$5:$U$192,9,TRUE))&lt;10^-10,"Alt.",D1000-VLOOKUP($D1000,Sheet1!$M$5:$U$192,9,TRUE)))</f>
        <v/>
      </c>
      <c r="V1000" s="132">
        <f>$D1000-Sheet1!$M$3*$R1000</f>
        <v>-0.17447145327055225</v>
      </c>
      <c r="Z1000" s="6"/>
      <c r="AA1000" s="61"/>
    </row>
    <row r="1001" spans="1:27" ht="13.5">
      <c r="A1001" t="s">
        <v>1251</v>
      </c>
      <c r="B1001">
        <v>1804275</v>
      </c>
      <c r="C1001">
        <v>1835008</v>
      </c>
      <c r="D1001" s="13">
        <f t="shared" si="20"/>
        <v>29.240529451599386</v>
      </c>
      <c r="E1001" s="61">
        <v>11</v>
      </c>
      <c r="F1001" s="65">
        <v>49.982329016158502</v>
      </c>
      <c r="G1001" s="6">
        <v>603</v>
      </c>
      <c r="H1001" s="6">
        <v>1100</v>
      </c>
      <c r="I1001" s="65">
        <v>-9.8004459273836737</v>
      </c>
      <c r="J1001" s="6">
        <f>VLOOKUP($D1001,Sheet1!$A$5:$C$192,3,TRUE)</f>
        <v>5</v>
      </c>
      <c r="K1001" s="42" t="str">
        <f>VLOOKUP($D1001,Sheet1!$A$5:$C$192,2,TRUE)</f>
        <v>|)</v>
      </c>
      <c r="L1001" s="6">
        <f>FLOOR(VLOOKUP($D1001,Sheet1!$D$5:$F$192,3,TRUE),1)</f>
        <v>12</v>
      </c>
      <c r="M1001" s="42" t="str">
        <f>VLOOKUP($D1001,Sheet1!$D$5:$F$192,2,TRUE)</f>
        <v>)|)</v>
      </c>
      <c r="N1001" s="23">
        <f>FLOOR(VLOOKUP($D1001,Sheet1!$G$5:$I$192,3,TRUE),1)</f>
        <v>15</v>
      </c>
      <c r="O1001" s="42" t="str">
        <f>VLOOKUP($D1001,Sheet1!$G$5:$I$192,2,TRUE)</f>
        <v>'|)</v>
      </c>
      <c r="P1001" s="23">
        <v>1</v>
      </c>
      <c r="Q1001" s="43" t="str">
        <f>VLOOKUP($D1001,Sheet1!$J$5:$L$192,2,TRUE)</f>
        <v>'|)</v>
      </c>
      <c r="R1001" s="23">
        <f>FLOOR(VLOOKUP($D1001,Sheet1!$M$5:$O$192,3,TRUE),1)</f>
        <v>60</v>
      </c>
      <c r="S1001" s="42" t="str">
        <f>VLOOKUP($D1001,Sheet1!$M$5:$O$192,2,TRUE)</f>
        <v>'|)</v>
      </c>
      <c r="T1001" s="117">
        <f>IF(ABS(D1001-VLOOKUP($D1001,Sheet1!$M$5:$T$192,8,TRUE))&lt;10^-10,"SoCA",D1001-VLOOKUP($D1001,Sheet1!$M$5:$T$192,8,TRUE))</f>
        <v>2.2716863565090506E-2</v>
      </c>
      <c r="U1001" s="109" t="str">
        <f>IF(VLOOKUP($D1001,Sheet1!$M$5:$U$192,9,TRUE)=0,"",IF(ABS(D1001-VLOOKUP($D1001,Sheet1!$M$5:$U$192,9,TRUE))&lt;10^-10,"Alt.",D1001-VLOOKUP($D1001,Sheet1!$M$5:$U$192,9,TRUE)))</f>
        <v/>
      </c>
      <c r="V1001" s="132">
        <f>$D1001-Sheet1!$M$3*$R1001</f>
        <v>-3.4579404463769947E-2</v>
      </c>
      <c r="Z1001" s="6"/>
      <c r="AA1001" s="61"/>
    </row>
    <row r="1002" spans="1:27" ht="13.5">
      <c r="A1002" s="6" t="s">
        <v>1072</v>
      </c>
      <c r="B1002" s="6">
        <f>2^24</f>
        <v>16777216</v>
      </c>
      <c r="C1002" s="6">
        <f>3^10*17^2</f>
        <v>17065161</v>
      </c>
      <c r="D1002" s="13">
        <f t="shared" si="20"/>
        <v>29.460827654688757</v>
      </c>
      <c r="E1002" s="61">
        <v>17</v>
      </c>
      <c r="F1002" s="65">
        <v>60.618313838690057</v>
      </c>
      <c r="G1002" s="6">
        <v>665</v>
      </c>
      <c r="H1002" s="6">
        <v>921</v>
      </c>
      <c r="I1002" s="65">
        <v>8.185989509662063</v>
      </c>
      <c r="J1002" s="6">
        <f>VLOOKUP($D1002,Sheet1!$A$5:$C$192,3,TRUE)</f>
        <v>5</v>
      </c>
      <c r="K1002" s="42" t="str">
        <f>VLOOKUP($D1002,Sheet1!$A$5:$C$192,2,TRUE)</f>
        <v>|)</v>
      </c>
      <c r="L1002" s="6">
        <f>FLOOR(VLOOKUP($D1002,Sheet1!$D$5:$F$192,3,TRUE),1)</f>
        <v>12</v>
      </c>
      <c r="M1002" s="42" t="str">
        <f>VLOOKUP($D1002,Sheet1!$D$5:$F$192,2,TRUE)</f>
        <v>)|)</v>
      </c>
      <c r="N1002" s="23">
        <f>FLOOR(VLOOKUP($D1002,Sheet1!$G$5:$I$192,3,TRUE),1)</f>
        <v>15</v>
      </c>
      <c r="O1002" s="42" t="str">
        <f>VLOOKUP($D1002,Sheet1!$G$5:$I$192,2,TRUE)</f>
        <v>'|)</v>
      </c>
      <c r="P1002" s="23">
        <v>1</v>
      </c>
      <c r="Q1002" s="43" t="str">
        <f>VLOOKUP($D1002,Sheet1!$J$5:$L$192,2,TRUE)</f>
        <v>'|)</v>
      </c>
      <c r="R1002" s="23">
        <f>FLOOR(VLOOKUP($D1002,Sheet1!$M$5:$O$192,3,TRUE),1)</f>
        <v>60</v>
      </c>
      <c r="S1002" s="42" t="str">
        <f>VLOOKUP($D1002,Sheet1!$M$5:$O$192,2,TRUE)</f>
        <v>'|)</v>
      </c>
      <c r="T1002" s="117">
        <f>IF(ABS(D1002-VLOOKUP($D1002,Sheet1!$M$5:$T$192,8,TRUE))&lt;10^-10,"SoCA",D1002-VLOOKUP($D1002,Sheet1!$M$5:$T$192,8,TRUE))</f>
        <v>0.24301506665446126</v>
      </c>
      <c r="U1002" s="109" t="str">
        <f>IF(VLOOKUP($D1002,Sheet1!$M$5:$U$192,9,TRUE)=0,"",IF(ABS(D1002-VLOOKUP($D1002,Sheet1!$M$5:$U$192,9,TRUE))&lt;10^-10,"Alt.",D1002-VLOOKUP($D1002,Sheet1!$M$5:$U$192,9,TRUE)))</f>
        <v/>
      </c>
      <c r="V1002" s="132">
        <f>$D1002-Sheet1!$M$3*$R1002</f>
        <v>0.18571879862560081</v>
      </c>
      <c r="Z1002" s="6"/>
      <c r="AA1002" s="61"/>
    </row>
    <row r="1003" spans="1:27" ht="13.5">
      <c r="A1003" s="6" t="s">
        <v>416</v>
      </c>
      <c r="B1003" s="6">
        <v>59</v>
      </c>
      <c r="C1003" s="6">
        <f>2^2*3*5</f>
        <v>60</v>
      </c>
      <c r="D1003" s="13">
        <f t="shared" si="20"/>
        <v>29.097055496012651</v>
      </c>
      <c r="E1003" s="61" t="s">
        <v>1931</v>
      </c>
      <c r="F1003" s="65">
        <v>64.043176691211983</v>
      </c>
      <c r="G1003" s="6">
        <v>277</v>
      </c>
      <c r="H1003" s="6">
        <v>254</v>
      </c>
      <c r="I1003" s="65">
        <v>-0.79161171323411983</v>
      </c>
      <c r="J1003" s="6">
        <f>VLOOKUP($D1003,Sheet1!$A$5:$C$192,3,TRUE)</f>
        <v>5</v>
      </c>
      <c r="K1003" s="42" t="str">
        <f>VLOOKUP($D1003,Sheet1!$A$5:$C$192,2,TRUE)</f>
        <v>|)</v>
      </c>
      <c r="L1003" s="6">
        <f>FLOOR(VLOOKUP($D1003,Sheet1!$D$5:$F$192,3,TRUE),1)</f>
        <v>12</v>
      </c>
      <c r="M1003" s="42" t="str">
        <f>VLOOKUP($D1003,Sheet1!$D$5:$F$192,2,TRUE)</f>
        <v>)|)</v>
      </c>
      <c r="N1003" s="23">
        <f>FLOOR(VLOOKUP($D1003,Sheet1!$G$5:$I$192,3,TRUE),1)</f>
        <v>15</v>
      </c>
      <c r="O1003" s="42" t="str">
        <f>VLOOKUP($D1003,Sheet1!$G$5:$I$192,2,TRUE)</f>
        <v>'|)</v>
      </c>
      <c r="P1003" s="23">
        <v>1</v>
      </c>
      <c r="Q1003" s="43" t="str">
        <f>VLOOKUP($D1003,Sheet1!$J$5:$L$192,2,TRUE)</f>
        <v>'|)</v>
      </c>
      <c r="R1003" s="23">
        <f>FLOOR(VLOOKUP($D1003,Sheet1!$M$5:$O$192,3,TRUE),1)</f>
        <v>60</v>
      </c>
      <c r="S1003" s="42" t="str">
        <f>VLOOKUP($D1003,Sheet1!$M$5:$O$192,2,TRUE)</f>
        <v>'|)</v>
      </c>
      <c r="T1003" s="117">
        <f>IF(ABS(D1003-VLOOKUP($D1003,Sheet1!$M$5:$T$192,8,TRUE))&lt;10^-10,"SoCA",D1003-VLOOKUP($D1003,Sheet1!$M$5:$T$192,8,TRUE))</f>
        <v>-0.12075709202164475</v>
      </c>
      <c r="U1003" s="109" t="str">
        <f>IF(VLOOKUP($D1003,Sheet1!$M$5:$U$192,9,TRUE)=0,"",IF(ABS(D1003-VLOOKUP($D1003,Sheet1!$M$5:$U$192,9,TRUE))&lt;10^-10,"Alt.",D1003-VLOOKUP($D1003,Sheet1!$M$5:$U$192,9,TRUE)))</f>
        <v/>
      </c>
      <c r="V1003" s="132">
        <f>$D1003-Sheet1!$M$3*$R1003</f>
        <v>-0.1780533600505052</v>
      </c>
      <c r="Z1003" s="6"/>
      <c r="AA1003" s="61"/>
    </row>
    <row r="1004" spans="1:27" ht="13.5">
      <c r="A1004" s="6" t="s">
        <v>1858</v>
      </c>
      <c r="B1004">
        <v>98415</v>
      </c>
      <c r="C1004">
        <v>100096</v>
      </c>
      <c r="D1004" s="13">
        <f t="shared" si="20"/>
        <v>29.321035115501289</v>
      </c>
      <c r="E1004" s="61">
        <v>23</v>
      </c>
      <c r="F1004" s="65">
        <v>78.476422247826065</v>
      </c>
      <c r="G1004" s="59">
        <v>1690</v>
      </c>
      <c r="H1004" s="63">
        <v>1000063</v>
      </c>
      <c r="I1004" s="65">
        <v>-10.805402954408216</v>
      </c>
      <c r="J1004" s="6">
        <f>VLOOKUP($D1004,Sheet1!$A$5:$C$192,3,TRUE)</f>
        <v>5</v>
      </c>
      <c r="K1004" s="42" t="str">
        <f>VLOOKUP($D1004,Sheet1!$A$5:$C$192,2,TRUE)</f>
        <v>|)</v>
      </c>
      <c r="L1004" s="6">
        <f>FLOOR(VLOOKUP($D1004,Sheet1!$D$5:$F$192,3,TRUE),1)</f>
        <v>12</v>
      </c>
      <c r="M1004" s="42" t="str">
        <f>VLOOKUP($D1004,Sheet1!$D$5:$F$192,2,TRUE)</f>
        <v>)|)</v>
      </c>
      <c r="N1004" s="23">
        <f>FLOOR(VLOOKUP($D1004,Sheet1!$G$5:$I$192,3,TRUE),1)</f>
        <v>15</v>
      </c>
      <c r="O1004" s="42" t="str">
        <f>VLOOKUP($D1004,Sheet1!$G$5:$I$192,2,TRUE)</f>
        <v>'|)</v>
      </c>
      <c r="P1004" s="23">
        <v>1</v>
      </c>
      <c r="Q1004" s="43" t="str">
        <f>VLOOKUP($D1004,Sheet1!$J$5:$L$192,2,TRUE)</f>
        <v>'|)</v>
      </c>
      <c r="R1004" s="23">
        <f>FLOOR(VLOOKUP($D1004,Sheet1!$M$5:$O$192,3,TRUE),1)</f>
        <v>60</v>
      </c>
      <c r="S1004" s="42" t="str">
        <f>VLOOKUP($D1004,Sheet1!$M$5:$O$192,2,TRUE)</f>
        <v>'|)</v>
      </c>
      <c r="T1004" s="117">
        <f>IF(ABS(D1004-VLOOKUP($D1004,Sheet1!$M$5:$T$192,8,TRUE))&lt;10^-10,"SoCA",D1004-VLOOKUP($D1004,Sheet1!$M$5:$T$192,8,TRUE))</f>
        <v>0.10322252746699334</v>
      </c>
      <c r="U1004" s="109" t="str">
        <f>IF(VLOOKUP($D1004,Sheet1!$M$5:$U$192,9,TRUE)=0,"",IF(ABS(D1004-VLOOKUP($D1004,Sheet1!$M$5:$U$192,9,TRUE))&lt;10^-10,"Alt.",D1004-VLOOKUP($D1004,Sheet1!$M$5:$U$192,9,TRUE)))</f>
        <v/>
      </c>
      <c r="V1004" s="132">
        <f>$D1004-Sheet1!$M$3*$R1004</f>
        <v>4.5926259438132888E-2</v>
      </c>
      <c r="Z1004" s="6"/>
      <c r="AA1004" s="61"/>
    </row>
    <row r="1005" spans="1:27" ht="13.5">
      <c r="A1005" t="s">
        <v>840</v>
      </c>
      <c r="B1005">
        <v>292</v>
      </c>
      <c r="C1005">
        <v>297</v>
      </c>
      <c r="D1005" s="13">
        <f t="shared" si="20"/>
        <v>29.393474304898213</v>
      </c>
      <c r="E1005" s="61" t="s">
        <v>1931</v>
      </c>
      <c r="F1005" s="65">
        <v>84.12650156036986</v>
      </c>
      <c r="G1005" s="6">
        <v>710</v>
      </c>
      <c r="H1005" s="6">
        <v>687</v>
      </c>
      <c r="I1005" s="65">
        <v>1.1901367007902801</v>
      </c>
      <c r="J1005" s="6">
        <f>VLOOKUP($D1005,Sheet1!$A$5:$C$192,3,TRUE)</f>
        <v>5</v>
      </c>
      <c r="K1005" s="42" t="str">
        <f>VLOOKUP($D1005,Sheet1!$A$5:$C$192,2,TRUE)</f>
        <v>|)</v>
      </c>
      <c r="L1005" s="6">
        <f>FLOOR(VLOOKUP($D1005,Sheet1!$D$5:$F$192,3,TRUE),1)</f>
        <v>12</v>
      </c>
      <c r="M1005" s="42" t="str">
        <f>VLOOKUP($D1005,Sheet1!$D$5:$F$192,2,TRUE)</f>
        <v>)|)</v>
      </c>
      <c r="N1005" s="23">
        <f>FLOOR(VLOOKUP($D1005,Sheet1!$G$5:$I$192,3,TRUE),1)</f>
        <v>15</v>
      </c>
      <c r="O1005" s="42" t="str">
        <f>VLOOKUP($D1005,Sheet1!$G$5:$I$192,2,TRUE)</f>
        <v>'|)</v>
      </c>
      <c r="P1005" s="23">
        <v>1</v>
      </c>
      <c r="Q1005" s="43" t="str">
        <f>VLOOKUP($D1005,Sheet1!$J$5:$L$192,2,TRUE)</f>
        <v>'|)</v>
      </c>
      <c r="R1005" s="23">
        <f>FLOOR(VLOOKUP($D1005,Sheet1!$M$5:$O$192,3,TRUE),1)</f>
        <v>60</v>
      </c>
      <c r="S1005" s="42" t="str">
        <f>VLOOKUP($D1005,Sheet1!$M$5:$O$192,2,TRUE)</f>
        <v>'|)</v>
      </c>
      <c r="T1005" s="117">
        <f>IF(ABS(D1005-VLOOKUP($D1005,Sheet1!$M$5:$T$192,8,TRUE))&lt;10^-10,"SoCA",D1005-VLOOKUP($D1005,Sheet1!$M$5:$T$192,8,TRUE))</f>
        <v>0.17566171686391741</v>
      </c>
      <c r="U1005" s="109" t="str">
        <f>IF(VLOOKUP($D1005,Sheet1!$M$5:$U$192,9,TRUE)=0,"",IF(ABS(D1005-VLOOKUP($D1005,Sheet1!$M$5:$U$192,9,TRUE))&lt;10^-10,"Alt.",D1005-VLOOKUP($D1005,Sheet1!$M$5:$U$192,9,TRUE)))</f>
        <v/>
      </c>
      <c r="V1005" s="132">
        <f>$D1005-Sheet1!$M$3*$R1005</f>
        <v>0.11836544883505695</v>
      </c>
      <c r="Z1005" s="6"/>
      <c r="AA1005" s="61"/>
    </row>
    <row r="1006" spans="1:27" ht="13.5">
      <c r="A1006" s="6" t="s">
        <v>1813</v>
      </c>
      <c r="B1006">
        <v>19683</v>
      </c>
      <c r="C1006">
        <v>20020</v>
      </c>
      <c r="D1006" s="13">
        <f t="shared" si="20"/>
        <v>29.390216679540234</v>
      </c>
      <c r="E1006" s="61">
        <v>13</v>
      </c>
      <c r="F1006" s="65">
        <v>87.978281352935198</v>
      </c>
      <c r="G1006" s="59">
        <v>1176</v>
      </c>
      <c r="H1006" s="63">
        <v>1000018</v>
      </c>
      <c r="I1006" s="65">
        <v>-10.809662715348253</v>
      </c>
      <c r="J1006" s="6">
        <f>VLOOKUP($D1006,Sheet1!$A$5:$C$192,3,TRUE)</f>
        <v>5</v>
      </c>
      <c r="K1006" s="42" t="str">
        <f>VLOOKUP($D1006,Sheet1!$A$5:$C$192,2,TRUE)</f>
        <v>|)</v>
      </c>
      <c r="L1006" s="6">
        <f>FLOOR(VLOOKUP($D1006,Sheet1!$D$5:$F$192,3,TRUE),1)</f>
        <v>12</v>
      </c>
      <c r="M1006" s="42" t="str">
        <f>VLOOKUP($D1006,Sheet1!$D$5:$F$192,2,TRUE)</f>
        <v>)|)</v>
      </c>
      <c r="N1006" s="23">
        <f>FLOOR(VLOOKUP($D1006,Sheet1!$G$5:$I$192,3,TRUE),1)</f>
        <v>15</v>
      </c>
      <c r="O1006" s="42" t="str">
        <f>VLOOKUP($D1006,Sheet1!$G$5:$I$192,2,TRUE)</f>
        <v>'|)</v>
      </c>
      <c r="P1006" s="23">
        <v>1</v>
      </c>
      <c r="Q1006" s="43" t="str">
        <f>VLOOKUP($D1006,Sheet1!$J$5:$L$192,2,TRUE)</f>
        <v>'|)</v>
      </c>
      <c r="R1006" s="23">
        <f>FLOOR(VLOOKUP($D1006,Sheet1!$M$5:$O$192,3,TRUE),1)</f>
        <v>60</v>
      </c>
      <c r="S1006" s="42" t="str">
        <f>VLOOKUP($D1006,Sheet1!$M$5:$O$192,2,TRUE)</f>
        <v>'|)</v>
      </c>
      <c r="T1006" s="117">
        <f>IF(ABS(D1006-VLOOKUP($D1006,Sheet1!$M$5:$T$192,8,TRUE))&lt;10^-10,"SoCA",D1006-VLOOKUP($D1006,Sheet1!$M$5:$T$192,8,TRUE))</f>
        <v>0.17240409150593905</v>
      </c>
      <c r="U1006" s="109" t="str">
        <f>IF(VLOOKUP($D1006,Sheet1!$M$5:$U$192,9,TRUE)=0,"",IF(ABS(D1006-VLOOKUP($D1006,Sheet1!$M$5:$U$192,9,TRUE))&lt;10^-10,"Alt.",D1006-VLOOKUP($D1006,Sheet1!$M$5:$U$192,9,TRUE)))</f>
        <v/>
      </c>
      <c r="V1006" s="132">
        <f>$D1006-Sheet1!$M$3*$R1006</f>
        <v>0.1151078234770786</v>
      </c>
      <c r="Z1006" s="6"/>
      <c r="AA1006" s="61"/>
    </row>
    <row r="1007" spans="1:27" ht="13.5">
      <c r="A1007" t="s">
        <v>1205</v>
      </c>
      <c r="B1007">
        <v>1809</v>
      </c>
      <c r="C1007">
        <v>1840</v>
      </c>
      <c r="D1007" s="13">
        <f t="shared" si="20"/>
        <v>29.416029987761146</v>
      </c>
      <c r="E1007" s="61" t="s">
        <v>1931</v>
      </c>
      <c r="F1007" s="65">
        <v>114.45585208386751</v>
      </c>
      <c r="G1007" s="6">
        <v>1110</v>
      </c>
      <c r="H1007" s="6">
        <v>1054</v>
      </c>
      <c r="I1007" s="65">
        <v>-4.8112521347784174</v>
      </c>
      <c r="J1007" s="6">
        <f>VLOOKUP($D1007,Sheet1!$A$5:$C$192,3,TRUE)</f>
        <v>5</v>
      </c>
      <c r="K1007" s="42" t="str">
        <f>VLOOKUP($D1007,Sheet1!$A$5:$C$192,2,TRUE)</f>
        <v>|)</v>
      </c>
      <c r="L1007" s="6">
        <f>FLOOR(VLOOKUP($D1007,Sheet1!$D$5:$F$192,3,TRUE),1)</f>
        <v>12</v>
      </c>
      <c r="M1007" s="42" t="str">
        <f>VLOOKUP($D1007,Sheet1!$D$5:$F$192,2,TRUE)</f>
        <v>)|)</v>
      </c>
      <c r="N1007" s="23">
        <f>FLOOR(VLOOKUP($D1007,Sheet1!$G$5:$I$192,3,TRUE),1)</f>
        <v>15</v>
      </c>
      <c r="O1007" s="42" t="str">
        <f>VLOOKUP($D1007,Sheet1!$G$5:$I$192,2,TRUE)</f>
        <v>'|)</v>
      </c>
      <c r="P1007" s="23">
        <v>1</v>
      </c>
      <c r="Q1007" s="43" t="str">
        <f>VLOOKUP($D1007,Sheet1!$J$5:$L$192,2,TRUE)</f>
        <v>'|)</v>
      </c>
      <c r="R1007" s="23">
        <f>FLOOR(VLOOKUP($D1007,Sheet1!$M$5:$O$192,3,TRUE),1)</f>
        <v>60</v>
      </c>
      <c r="S1007" s="42" t="str">
        <f>VLOOKUP($D1007,Sheet1!$M$5:$O$192,2,TRUE)</f>
        <v>'|)</v>
      </c>
      <c r="T1007" s="117">
        <f>IF(ABS(D1007-VLOOKUP($D1007,Sheet1!$M$5:$T$192,8,TRUE))&lt;10^-10,"SoCA",D1007-VLOOKUP($D1007,Sheet1!$M$5:$T$192,8,TRUE))</f>
        <v>0.19821739972685037</v>
      </c>
      <c r="U1007" s="109" t="str">
        <f>IF(VLOOKUP($D1007,Sheet1!$M$5:$U$192,9,TRUE)=0,"",IF(ABS(D1007-VLOOKUP($D1007,Sheet1!$M$5:$U$192,9,TRUE))&lt;10^-10,"Alt.",D1007-VLOOKUP($D1007,Sheet1!$M$5:$U$192,9,TRUE)))</f>
        <v/>
      </c>
      <c r="V1007" s="132">
        <f>$D1007-Sheet1!$M$3*$R1007</f>
        <v>0.14092113169798992</v>
      </c>
      <c r="Z1007" s="6"/>
      <c r="AA1007" s="61"/>
    </row>
    <row r="1008" spans="1:27" ht="13.5">
      <c r="A1008" t="s">
        <v>1010</v>
      </c>
      <c r="B1008">
        <v>291</v>
      </c>
      <c r="C1008">
        <v>296</v>
      </c>
      <c r="D1008" s="13">
        <f t="shared" si="20"/>
        <v>29.493627264799002</v>
      </c>
      <c r="E1008" s="61" t="s">
        <v>1931</v>
      </c>
      <c r="F1008" s="65">
        <v>134.12269766883674</v>
      </c>
      <c r="G1008" s="6">
        <v>925</v>
      </c>
      <c r="H1008" s="6">
        <v>858</v>
      </c>
      <c r="I1008" s="65">
        <v>-2.8160300818279098</v>
      </c>
      <c r="J1008" s="6">
        <f>VLOOKUP($D1008,Sheet1!$A$5:$C$192,3,TRUE)</f>
        <v>5</v>
      </c>
      <c r="K1008" s="42" t="str">
        <f>VLOOKUP($D1008,Sheet1!$A$5:$C$192,2,TRUE)</f>
        <v>|)</v>
      </c>
      <c r="L1008" s="6">
        <f>FLOOR(VLOOKUP($D1008,Sheet1!$D$5:$F$192,3,TRUE),1)</f>
        <v>12</v>
      </c>
      <c r="M1008" s="42" t="str">
        <f>VLOOKUP($D1008,Sheet1!$D$5:$F$192,2,TRUE)</f>
        <v>)|)</v>
      </c>
      <c r="N1008" s="23">
        <f>FLOOR(VLOOKUP($D1008,Sheet1!$G$5:$I$192,3,TRUE),1)</f>
        <v>15</v>
      </c>
      <c r="O1008" s="42" t="str">
        <f>VLOOKUP($D1008,Sheet1!$G$5:$I$192,2,TRUE)</f>
        <v>'|)</v>
      </c>
      <c r="P1008" s="23">
        <v>1</v>
      </c>
      <c r="Q1008" s="43" t="str">
        <f>VLOOKUP($D1008,Sheet1!$J$5:$L$192,2,TRUE)</f>
        <v>'|)</v>
      </c>
      <c r="R1008" s="23">
        <f>FLOOR(VLOOKUP($D1008,Sheet1!$M$5:$O$192,3,TRUE),1)</f>
        <v>60</v>
      </c>
      <c r="S1008" s="42" t="str">
        <f>VLOOKUP($D1008,Sheet1!$M$5:$O$192,2,TRUE)</f>
        <v>'|)</v>
      </c>
      <c r="T1008" s="117">
        <f>IF(ABS(D1008-VLOOKUP($D1008,Sheet1!$M$5:$T$192,8,TRUE))&lt;10^-10,"SoCA",D1008-VLOOKUP($D1008,Sheet1!$M$5:$T$192,8,TRUE))</f>
        <v>0.27581467676470695</v>
      </c>
      <c r="U1008" s="109" t="str">
        <f>IF(VLOOKUP($D1008,Sheet1!$M$5:$U$192,9,TRUE)=0,"",IF(ABS(D1008-VLOOKUP($D1008,Sheet1!$M$5:$U$192,9,TRUE))&lt;10^-10,"Alt.",D1008-VLOOKUP($D1008,Sheet1!$M$5:$U$192,9,TRUE)))</f>
        <v/>
      </c>
      <c r="V1008" s="132">
        <f>$D1008-Sheet1!$M$3*$R1008</f>
        <v>0.21851840873584649</v>
      </c>
      <c r="Z1008" s="6"/>
      <c r="AA1008" s="61"/>
    </row>
    <row r="1009" spans="1:27" ht="13.5">
      <c r="A1009" t="s">
        <v>826</v>
      </c>
      <c r="B1009">
        <v>8181</v>
      </c>
      <c r="C1009">
        <v>8320</v>
      </c>
      <c r="D1009" s="13">
        <f t="shared" si="20"/>
        <v>29.167592870442146</v>
      </c>
      <c r="E1009" s="61" t="s">
        <v>1931</v>
      </c>
      <c r="F1009" s="65">
        <v>143.74791842037706</v>
      </c>
      <c r="G1009" s="6">
        <v>642</v>
      </c>
      <c r="H1009" s="6">
        <v>673</v>
      </c>
      <c r="I1009" s="65">
        <v>-5.79595495635939</v>
      </c>
      <c r="J1009" s="6">
        <f>VLOOKUP($D1009,Sheet1!$A$5:$C$192,3,TRUE)</f>
        <v>5</v>
      </c>
      <c r="K1009" s="42" t="str">
        <f>VLOOKUP($D1009,Sheet1!$A$5:$C$192,2,TRUE)</f>
        <v>|)</v>
      </c>
      <c r="L1009" s="6">
        <f>FLOOR(VLOOKUP($D1009,Sheet1!$D$5:$F$192,3,TRUE),1)</f>
        <v>12</v>
      </c>
      <c r="M1009" s="42" t="str">
        <f>VLOOKUP($D1009,Sheet1!$D$5:$F$192,2,TRUE)</f>
        <v>)|)</v>
      </c>
      <c r="N1009" s="23">
        <f>FLOOR(VLOOKUP($D1009,Sheet1!$G$5:$I$192,3,TRUE),1)</f>
        <v>15</v>
      </c>
      <c r="O1009" s="42" t="str">
        <f>VLOOKUP($D1009,Sheet1!$G$5:$I$192,2,TRUE)</f>
        <v>'|)</v>
      </c>
      <c r="P1009" s="23">
        <v>1</v>
      </c>
      <c r="Q1009" s="43" t="str">
        <f>VLOOKUP($D1009,Sheet1!$J$5:$L$192,2,TRUE)</f>
        <v>'|)</v>
      </c>
      <c r="R1009" s="23">
        <f>FLOOR(VLOOKUP($D1009,Sheet1!$M$5:$O$192,3,TRUE),1)</f>
        <v>60</v>
      </c>
      <c r="S1009" s="42" t="str">
        <f>VLOOKUP($D1009,Sheet1!$M$5:$O$192,2,TRUE)</f>
        <v>'|)</v>
      </c>
      <c r="T1009" s="117">
        <f>IF(ABS(D1009-VLOOKUP($D1009,Sheet1!$M$5:$T$192,8,TRUE))&lt;10^-10,"SoCA",D1009-VLOOKUP($D1009,Sheet1!$M$5:$T$192,8,TRUE))</f>
        <v>-5.0219717592149493E-2</v>
      </c>
      <c r="U1009" s="109" t="str">
        <f>IF(VLOOKUP($D1009,Sheet1!$M$5:$U$192,9,TRUE)=0,"",IF(ABS(D1009-VLOOKUP($D1009,Sheet1!$M$5:$U$192,9,TRUE))&lt;10^-10,"Alt.",D1009-VLOOKUP($D1009,Sheet1!$M$5:$U$192,9,TRUE)))</f>
        <v/>
      </c>
      <c r="V1009" s="132">
        <f>$D1009-Sheet1!$M$3*$R1009</f>
        <v>-0.10751598562100995</v>
      </c>
      <c r="Z1009" s="6"/>
      <c r="AA1009" s="61"/>
    </row>
    <row r="1010" spans="1:27" ht="13.5">
      <c r="A1010" t="s">
        <v>1504</v>
      </c>
      <c r="B1010">
        <v>3309568</v>
      </c>
      <c r="C1010">
        <v>3365793</v>
      </c>
      <c r="D1010" s="13">
        <f t="shared" si="20"/>
        <v>29.164246349410668</v>
      </c>
      <c r="E1010" s="61" t="s">
        <v>1931</v>
      </c>
      <c r="F1010" s="65">
        <v>155.00283201307326</v>
      </c>
      <c r="G1010" s="6">
        <v>1274</v>
      </c>
      <c r="H1010" s="6">
        <v>1353</v>
      </c>
      <c r="I1010" s="65">
        <v>9.2042511011325576</v>
      </c>
      <c r="J1010" s="6">
        <f>VLOOKUP($D1010,Sheet1!$A$5:$C$192,3,TRUE)</f>
        <v>5</v>
      </c>
      <c r="K1010" s="42" t="str">
        <f>VLOOKUP($D1010,Sheet1!$A$5:$C$192,2,TRUE)</f>
        <v>|)</v>
      </c>
      <c r="L1010" s="6">
        <f>FLOOR(VLOOKUP($D1010,Sheet1!$D$5:$F$192,3,TRUE),1)</f>
        <v>12</v>
      </c>
      <c r="M1010" s="42" t="str">
        <f>VLOOKUP($D1010,Sheet1!$D$5:$F$192,2,TRUE)</f>
        <v>)|)</v>
      </c>
      <c r="N1010" s="23">
        <f>FLOOR(VLOOKUP($D1010,Sheet1!$G$5:$I$192,3,TRUE),1)</f>
        <v>15</v>
      </c>
      <c r="O1010" s="42" t="str">
        <f>VLOOKUP($D1010,Sheet1!$G$5:$I$192,2,TRUE)</f>
        <v>'|)</v>
      </c>
      <c r="P1010" s="23">
        <v>1</v>
      </c>
      <c r="Q1010" s="43" t="str">
        <f>VLOOKUP($D1010,Sheet1!$J$5:$L$192,2,TRUE)</f>
        <v>'|)</v>
      </c>
      <c r="R1010" s="23">
        <f>FLOOR(VLOOKUP($D1010,Sheet1!$M$5:$O$192,3,TRUE),1)</f>
        <v>60</v>
      </c>
      <c r="S1010" s="42" t="str">
        <f>VLOOKUP($D1010,Sheet1!$M$5:$O$192,2,TRUE)</f>
        <v>'|)</v>
      </c>
      <c r="T1010" s="117">
        <f>IF(ABS(D1010-VLOOKUP($D1010,Sheet1!$M$5:$T$192,8,TRUE))&lt;10^-10,"SoCA",D1010-VLOOKUP($D1010,Sheet1!$M$5:$T$192,8,TRUE))</f>
        <v>-5.3566238623627527E-2</v>
      </c>
      <c r="U1010" s="109" t="str">
        <f>IF(VLOOKUP($D1010,Sheet1!$M$5:$U$192,9,TRUE)=0,"",IF(ABS(D1010-VLOOKUP($D1010,Sheet1!$M$5:$U$192,9,TRUE))&lt;10^-10,"Alt.",D1010-VLOOKUP($D1010,Sheet1!$M$5:$U$192,9,TRUE)))</f>
        <v/>
      </c>
      <c r="V1010" s="132">
        <f>$D1010-Sheet1!$M$3*$R1010</f>
        <v>-0.11086250665248798</v>
      </c>
      <c r="Z1010" s="6"/>
      <c r="AA1010" s="61"/>
    </row>
    <row r="1011" spans="1:27" ht="13.5">
      <c r="A1011" t="s">
        <v>1651</v>
      </c>
      <c r="B1011">
        <v>12713984</v>
      </c>
      <c r="C1011">
        <v>12931731</v>
      </c>
      <c r="D1011" s="13">
        <f t="shared" si="20"/>
        <v>29.399069550729045</v>
      </c>
      <c r="E1011" s="61" t="s">
        <v>1931</v>
      </c>
      <c r="F1011" s="65">
        <v>207.42179785578671</v>
      </c>
      <c r="G1011" s="6">
        <v>1556</v>
      </c>
      <c r="H1011" s="6">
        <v>1500</v>
      </c>
      <c r="I1011" s="65">
        <v>9.1897921811198859</v>
      </c>
      <c r="J1011" s="6">
        <f>VLOOKUP($D1011,Sheet1!$A$5:$C$192,3,TRUE)</f>
        <v>5</v>
      </c>
      <c r="K1011" s="42" t="str">
        <f>VLOOKUP($D1011,Sheet1!$A$5:$C$192,2,TRUE)</f>
        <v>|)</v>
      </c>
      <c r="L1011" s="6">
        <f>FLOOR(VLOOKUP($D1011,Sheet1!$D$5:$F$192,3,TRUE),1)</f>
        <v>12</v>
      </c>
      <c r="M1011" s="42" t="str">
        <f>VLOOKUP($D1011,Sheet1!$D$5:$F$192,2,TRUE)</f>
        <v>)|)</v>
      </c>
      <c r="N1011" s="23">
        <f>FLOOR(VLOOKUP($D1011,Sheet1!$G$5:$I$192,3,TRUE),1)</f>
        <v>15</v>
      </c>
      <c r="O1011" s="42" t="str">
        <f>VLOOKUP($D1011,Sheet1!$G$5:$I$192,2,TRUE)</f>
        <v>'|)</v>
      </c>
      <c r="P1011" s="23">
        <v>1</v>
      </c>
      <c r="Q1011" s="43" t="str">
        <f>VLOOKUP($D1011,Sheet1!$J$5:$L$192,2,TRUE)</f>
        <v>'|)</v>
      </c>
      <c r="R1011" s="23">
        <f>FLOOR(VLOOKUP($D1011,Sheet1!$M$5:$O$192,3,TRUE),1)</f>
        <v>60</v>
      </c>
      <c r="S1011" s="42" t="str">
        <f>VLOOKUP($D1011,Sheet1!$M$5:$O$192,2,TRUE)</f>
        <v>'|)</v>
      </c>
      <c r="T1011" s="117">
        <f>IF(ABS(D1011-VLOOKUP($D1011,Sheet1!$M$5:$T$192,8,TRUE))&lt;10^-10,"SoCA",D1011-VLOOKUP($D1011,Sheet1!$M$5:$T$192,8,TRUE))</f>
        <v>0.18125696269475</v>
      </c>
      <c r="U1011" s="109" t="str">
        <f>IF(VLOOKUP($D1011,Sheet1!$M$5:$U$192,9,TRUE)=0,"",IF(ABS(D1011-VLOOKUP($D1011,Sheet1!$M$5:$U$192,9,TRUE))&lt;10^-10,"Alt.",D1011-VLOOKUP($D1011,Sheet1!$M$5:$U$192,9,TRUE)))</f>
        <v/>
      </c>
      <c r="V1011" s="132">
        <f>$D1011-Sheet1!$M$3*$R1011</f>
        <v>0.12396069466588955</v>
      </c>
      <c r="Z1011" s="6"/>
      <c r="AA1011" s="61"/>
    </row>
    <row r="1012" spans="1:27" ht="13.5">
      <c r="A1012" t="s">
        <v>1416</v>
      </c>
      <c r="B1012">
        <v>4324413586941</v>
      </c>
      <c r="C1012">
        <v>4398046511104</v>
      </c>
      <c r="D1012" s="13">
        <f t="shared" si="20"/>
        <v>29.230022781913984</v>
      </c>
      <c r="E1012" s="61">
        <v>7</v>
      </c>
      <c r="F1012" s="65">
        <v>253.32350496915231</v>
      </c>
      <c r="G1012" s="6">
        <v>1193</v>
      </c>
      <c r="H1012" s="6">
        <v>1265</v>
      </c>
      <c r="I1012" s="65">
        <v>-8.7997989934532619</v>
      </c>
      <c r="J1012" s="6">
        <f>VLOOKUP($D1012,Sheet1!$A$5:$C$192,3,TRUE)</f>
        <v>5</v>
      </c>
      <c r="K1012" s="42" t="str">
        <f>VLOOKUP($D1012,Sheet1!$A$5:$C$192,2,TRUE)</f>
        <v>|)</v>
      </c>
      <c r="L1012" s="6">
        <f>FLOOR(VLOOKUP($D1012,Sheet1!$D$5:$F$192,3,TRUE),1)</f>
        <v>12</v>
      </c>
      <c r="M1012" s="42" t="str">
        <f>VLOOKUP($D1012,Sheet1!$D$5:$F$192,2,TRUE)</f>
        <v>)|)</v>
      </c>
      <c r="N1012" s="23">
        <f>FLOOR(VLOOKUP($D1012,Sheet1!$G$5:$I$192,3,TRUE),1)</f>
        <v>15</v>
      </c>
      <c r="O1012" s="42" t="str">
        <f>VLOOKUP($D1012,Sheet1!$G$5:$I$192,2,TRUE)</f>
        <v>'|)</v>
      </c>
      <c r="P1012" s="23">
        <v>1</v>
      </c>
      <c r="Q1012" s="43" t="str">
        <f>VLOOKUP($D1012,Sheet1!$J$5:$L$192,2,TRUE)</f>
        <v>'|)</v>
      </c>
      <c r="R1012" s="23">
        <f>FLOOR(VLOOKUP($D1012,Sheet1!$M$5:$O$192,3,TRUE),1)</f>
        <v>60</v>
      </c>
      <c r="S1012" s="42" t="str">
        <f>VLOOKUP($D1012,Sheet1!$M$5:$O$192,2,TRUE)</f>
        <v>'|)</v>
      </c>
      <c r="T1012" s="117">
        <f>IF(ABS(D1012-VLOOKUP($D1012,Sheet1!$M$5:$T$192,8,TRUE))&lt;10^-10,"SoCA",D1012-VLOOKUP($D1012,Sheet1!$M$5:$T$192,8,TRUE))</f>
        <v>1.2210193879688802E-2</v>
      </c>
      <c r="U1012" s="109" t="str">
        <f>IF(VLOOKUP($D1012,Sheet1!$M$5:$U$192,9,TRUE)=0,"",IF(ABS(D1012-VLOOKUP($D1012,Sheet1!$M$5:$U$192,9,TRUE))&lt;10^-10,"Alt.",D1012-VLOOKUP($D1012,Sheet1!$M$5:$U$192,9,TRUE)))</f>
        <v/>
      </c>
      <c r="V1012" s="132">
        <f>$D1012-Sheet1!$M$3*$R1012</f>
        <v>-4.5086074149171651E-2</v>
      </c>
      <c r="Z1012" s="6"/>
      <c r="AA1012" s="61"/>
    </row>
    <row r="1013" spans="1:27" ht="13.5">
      <c r="A1013" t="s">
        <v>1495</v>
      </c>
      <c r="B1013">
        <v>38637</v>
      </c>
      <c r="C1013">
        <v>39296</v>
      </c>
      <c r="D1013" s="13">
        <f t="shared" si="20"/>
        <v>29.279263776051867</v>
      </c>
      <c r="E1013" s="61" t="s">
        <v>1931</v>
      </c>
      <c r="F1013" s="65">
        <v>364.67536139605812</v>
      </c>
      <c r="G1013" s="6">
        <v>1407</v>
      </c>
      <c r="H1013" s="6">
        <v>1344</v>
      </c>
      <c r="I1013" s="65">
        <v>-7.8028309408570395</v>
      </c>
      <c r="J1013" s="6">
        <f>VLOOKUP($D1013,Sheet1!$A$5:$C$192,3,TRUE)</f>
        <v>5</v>
      </c>
      <c r="K1013" s="42" t="str">
        <f>VLOOKUP($D1013,Sheet1!$A$5:$C$192,2,TRUE)</f>
        <v>|)</v>
      </c>
      <c r="L1013" s="6">
        <f>FLOOR(VLOOKUP($D1013,Sheet1!$D$5:$F$192,3,TRUE),1)</f>
        <v>12</v>
      </c>
      <c r="M1013" s="42" t="str">
        <f>VLOOKUP($D1013,Sheet1!$D$5:$F$192,2,TRUE)</f>
        <v>)|)</v>
      </c>
      <c r="N1013" s="23">
        <f>FLOOR(VLOOKUP($D1013,Sheet1!$G$5:$I$192,3,TRUE),1)</f>
        <v>15</v>
      </c>
      <c r="O1013" s="42" t="str">
        <f>VLOOKUP($D1013,Sheet1!$G$5:$I$192,2,TRUE)</f>
        <v>'|)</v>
      </c>
      <c r="P1013" s="23">
        <v>1</v>
      </c>
      <c r="Q1013" s="43" t="str">
        <f>VLOOKUP($D1013,Sheet1!$J$5:$L$192,2,TRUE)</f>
        <v>'|)</v>
      </c>
      <c r="R1013" s="23">
        <f>FLOOR(VLOOKUP($D1013,Sheet1!$M$5:$O$192,3,TRUE),1)</f>
        <v>60</v>
      </c>
      <c r="S1013" s="42" t="str">
        <f>VLOOKUP($D1013,Sheet1!$M$5:$O$192,2,TRUE)</f>
        <v>'|)</v>
      </c>
      <c r="T1013" s="117">
        <f>IF(ABS(D1013-VLOOKUP($D1013,Sheet1!$M$5:$T$192,8,TRUE))&lt;10^-10,"SoCA",D1013-VLOOKUP($D1013,Sheet1!$M$5:$T$192,8,TRUE))</f>
        <v>6.1451188017571212E-2</v>
      </c>
      <c r="U1013" s="109" t="str">
        <f>IF(VLOOKUP($D1013,Sheet1!$M$5:$U$192,9,TRUE)=0,"",IF(ABS(D1013-VLOOKUP($D1013,Sheet1!$M$5:$U$192,9,TRUE))&lt;10^-10,"Alt.",D1013-VLOOKUP($D1013,Sheet1!$M$5:$U$192,9,TRUE)))</f>
        <v/>
      </c>
      <c r="V1013" s="132">
        <f>$D1013-Sheet1!$M$3*$R1013</f>
        <v>4.1549199887107591E-3</v>
      </c>
      <c r="Z1013" s="6"/>
      <c r="AA1013" s="61"/>
    </row>
    <row r="1014" spans="1:27" ht="13.5">
      <c r="A1014" s="40" t="s">
        <v>121</v>
      </c>
      <c r="B1014" s="40">
        <f>2^14*5</f>
        <v>81920</v>
      </c>
      <c r="C1014" s="40">
        <f>3^5*7^3</f>
        <v>83349</v>
      </c>
      <c r="D1014" s="13">
        <f t="shared" si="20"/>
        <v>29.939009869476987</v>
      </c>
      <c r="E1014" s="61">
        <v>7</v>
      </c>
      <c r="F1014" s="65">
        <v>36.776599431455665</v>
      </c>
      <c r="G1014" s="6">
        <v>93</v>
      </c>
      <c r="H1014" s="6">
        <v>85</v>
      </c>
      <c r="I1014" s="65">
        <v>3.1565460885848955</v>
      </c>
      <c r="J1014" s="23">
        <f>VLOOKUP($D1014,Sheet1!$A$5:$C$192,3,TRUE)</f>
        <v>5</v>
      </c>
      <c r="K1014" s="43" t="str">
        <f>VLOOKUP($D1014,Sheet1!$A$5:$C$192,2,TRUE)</f>
        <v>|)</v>
      </c>
      <c r="L1014" s="6">
        <f>FLOOR(VLOOKUP($D1014,Sheet1!$D$5:$F$192,3,TRUE),1)</f>
        <v>12</v>
      </c>
      <c r="M1014" s="43" t="str">
        <f>VLOOKUP($D1014,Sheet1!$D$5:$F$192,2,TRUE)</f>
        <v>)|)</v>
      </c>
      <c r="N1014" s="23">
        <f>FLOOR(VLOOKUP($D1014,Sheet1!$G$5:$I$192,3,TRUE),1)</f>
        <v>15</v>
      </c>
      <c r="O1014" s="43" t="str">
        <f>VLOOKUP($D1014,Sheet1!$G$5:$I$192,2,TRUE)</f>
        <v>'|)</v>
      </c>
      <c r="P1014" s="23">
        <v>1</v>
      </c>
      <c r="Q1014" s="43" t="str">
        <f>VLOOKUP($D1014,Sheet1!$J$5:$L$192,2,TRUE)</f>
        <v>'|)'</v>
      </c>
      <c r="R1014" s="40">
        <f>FLOOR(VLOOKUP($D1014,Sheet1!$M$5:$O$192,3,TRUE),1)</f>
        <v>61</v>
      </c>
      <c r="S1014" s="46" t="str">
        <f>VLOOKUP($D1014,Sheet1!$M$5:$O$192,2,TRUE)</f>
        <v>)|)..</v>
      </c>
      <c r="T1014" s="115">
        <f>IF(ABS(D1014-VLOOKUP($D1014,Sheet1!$M$5:$T$192,8,TRUE))&lt;10^-10,"SoCA",D1014-VLOOKUP($D1014,Sheet1!$M$5:$T$192,8,TRUE))</f>
        <v>0.12942354501360853</v>
      </c>
      <c r="U1014" s="115">
        <f>IF(VLOOKUP($D1014,Sheet1!$M$5:$U$192,9,TRUE)=0,"",IF(ABS(D1014-VLOOKUP($D1014,Sheet1!$M$5:$U$192,9,TRUE))&lt;10^-10,"Alt.",D1014-VLOOKUP($D1014,Sheet1!$M$5:$U$192,9,TRUE)))</f>
        <v>0.11537137761915162</v>
      </c>
      <c r="V1014" s="132">
        <f>$D1014-Sheet1!$M$3*$R1014</f>
        <v>0.17598253247944484</v>
      </c>
      <c r="Z1014" s="6"/>
      <c r="AA1014" s="61"/>
    </row>
    <row r="1015" spans="1:27" ht="13.5">
      <c r="A1015" s="23" t="s">
        <v>950</v>
      </c>
      <c r="B1015" s="23">
        <f>7^2*13</f>
        <v>637</v>
      </c>
      <c r="C1015" s="23">
        <f>2^3*3^4</f>
        <v>648</v>
      </c>
      <c r="D1015" s="51">
        <f t="shared" si="20"/>
        <v>29.640528753989226</v>
      </c>
      <c r="E1015" s="61">
        <v>13</v>
      </c>
      <c r="F1015" s="65">
        <v>43.390814333015513</v>
      </c>
      <c r="G1015" s="6">
        <v>860</v>
      </c>
      <c r="H1015" s="6">
        <v>798</v>
      </c>
      <c r="I1015" s="65">
        <v>2.1749246582913848</v>
      </c>
      <c r="J1015" s="6">
        <f>VLOOKUP($D1015,Sheet1!$A$5:$C$192,3,TRUE)</f>
        <v>5</v>
      </c>
      <c r="K1015" s="42" t="str">
        <f>VLOOKUP($D1015,Sheet1!$A$5:$C$192,2,TRUE)</f>
        <v>|)</v>
      </c>
      <c r="L1015" s="6">
        <f>FLOOR(VLOOKUP($D1015,Sheet1!$D$5:$F$192,3,TRUE),1)</f>
        <v>12</v>
      </c>
      <c r="M1015" s="42" t="str">
        <f>VLOOKUP($D1015,Sheet1!$D$5:$F$192,2,TRUE)</f>
        <v>)|)</v>
      </c>
      <c r="N1015" s="23">
        <f>FLOOR(VLOOKUP($D1015,Sheet1!$G$5:$I$192,3,TRUE),1)</f>
        <v>15</v>
      </c>
      <c r="O1015" s="42" t="str">
        <f>VLOOKUP($D1015,Sheet1!$G$5:$I$192,2,TRUE)</f>
        <v>'|)</v>
      </c>
      <c r="P1015" s="23">
        <v>1</v>
      </c>
      <c r="Q1015" s="43" t="str">
        <f>VLOOKUP($D1015,Sheet1!$J$5:$L$192,2,TRUE)</f>
        <v>'|)'</v>
      </c>
      <c r="R1015" s="23">
        <f>FLOOR(VLOOKUP($D1015,Sheet1!$M$5:$O$192,3,TRUE),1)</f>
        <v>61</v>
      </c>
      <c r="S1015" s="43" t="str">
        <f>VLOOKUP($D1015,Sheet1!$M$5:$O$192,2,TRUE)</f>
        <v>'|)'</v>
      </c>
      <c r="T1015" s="124" t="str">
        <f>IF(ABS(D1015-VLOOKUP($D1015,Sheet1!$M$5:$T$192,8,TRUE))&lt;10^-10,"SoCA",D1015-VLOOKUP($D1015,Sheet1!$M$5:$T$192,8,TRUE))</f>
        <v>SoCA</v>
      </c>
      <c r="U1015" s="117">
        <f>IF(VLOOKUP($D1015,Sheet1!$M$5:$U$192,9,TRUE)=0,"",IF(ABS(D1015-VLOOKUP($D1015,Sheet1!$M$5:$U$192,9,TRUE))&lt;10^-10,"Alt.",D1015-VLOOKUP($D1015,Sheet1!$M$5:$U$192,9,TRUE)))</f>
        <v>2.6960295202542284E-2</v>
      </c>
      <c r="V1015" s="132">
        <f>$D1015-Sheet1!$M$3*$R1015</f>
        <v>-0.12249858300831562</v>
      </c>
      <c r="Z1015" s="6"/>
      <c r="AA1015" s="61"/>
    </row>
    <row r="1016" spans="1:27" ht="13.5">
      <c r="A1016" s="6" t="s">
        <v>667</v>
      </c>
      <c r="B1016" s="6">
        <f>2^3*11*19</f>
        <v>1672</v>
      </c>
      <c r="C1016" s="6">
        <f>3^5*7</f>
        <v>1701</v>
      </c>
      <c r="D1016" s="13">
        <f t="shared" si="20"/>
        <v>29.769952299002799</v>
      </c>
      <c r="E1016" s="61">
        <v>19</v>
      </c>
      <c r="F1016" s="65">
        <v>44.814702196991689</v>
      </c>
      <c r="G1016" s="6">
        <v>557</v>
      </c>
      <c r="H1016" s="6">
        <v>512</v>
      </c>
      <c r="I1016" s="65">
        <v>3.1669555791092532</v>
      </c>
      <c r="J1016" s="6">
        <f>VLOOKUP($D1016,Sheet1!$A$5:$C$192,3,TRUE)</f>
        <v>5</v>
      </c>
      <c r="K1016" s="42" t="str">
        <f>VLOOKUP($D1016,Sheet1!$A$5:$C$192,2,TRUE)</f>
        <v>|)</v>
      </c>
      <c r="L1016" s="6">
        <f>FLOOR(VLOOKUP($D1016,Sheet1!$D$5:$F$192,3,TRUE),1)</f>
        <v>12</v>
      </c>
      <c r="M1016" s="42" t="str">
        <f>VLOOKUP($D1016,Sheet1!$D$5:$F$192,2,TRUE)</f>
        <v>)|)</v>
      </c>
      <c r="N1016" s="23">
        <f>FLOOR(VLOOKUP($D1016,Sheet1!$G$5:$I$192,3,TRUE),1)</f>
        <v>15</v>
      </c>
      <c r="O1016" s="42" t="str">
        <f>VLOOKUP($D1016,Sheet1!$G$5:$I$192,2,TRUE)</f>
        <v>'|)</v>
      </c>
      <c r="P1016" s="23">
        <v>1</v>
      </c>
      <c r="Q1016" s="43" t="str">
        <f>VLOOKUP($D1016,Sheet1!$J$5:$L$192,2,TRUE)</f>
        <v>'|)'</v>
      </c>
      <c r="R1016" s="23">
        <f>FLOOR(VLOOKUP($D1016,Sheet1!$M$5:$O$192,3,TRUE),1)</f>
        <v>61</v>
      </c>
      <c r="S1016" s="42" t="str">
        <f>VLOOKUP($D1016,Sheet1!$M$5:$O$192,2,TRUE)</f>
        <v>'|)'</v>
      </c>
      <c r="T1016" s="117">
        <f>IF(ABS(D1016-VLOOKUP($D1016,Sheet1!$M$5:$T$192,8,TRUE))&lt;10^-10,"SoCA",D1016-VLOOKUP($D1016,Sheet1!$M$5:$T$192,8,TRUE))</f>
        <v>0.12942354501367959</v>
      </c>
      <c r="U1016" s="109">
        <f>IF(VLOOKUP($D1016,Sheet1!$M$5:$U$192,9,TRUE)=0,"",IF(ABS(D1016-VLOOKUP($D1016,Sheet1!$M$5:$U$192,9,TRUE))&lt;10^-10,"Alt.",D1016-VLOOKUP($D1016,Sheet1!$M$5:$U$192,9,TRUE)))</f>
        <v>0.15638384021611529</v>
      </c>
      <c r="V1016" s="132">
        <f>$D1016-Sheet1!$M$3*$R1016</f>
        <v>6.9249620052573846E-3</v>
      </c>
      <c r="Z1016" s="6"/>
      <c r="AA1016" s="61"/>
    </row>
    <row r="1017" spans="1:27" ht="13.5">
      <c r="A1017" s="6" t="s">
        <v>752</v>
      </c>
      <c r="B1017" s="6">
        <f>5*23</f>
        <v>115</v>
      </c>
      <c r="C1017" s="6">
        <f>3^2*13</f>
        <v>117</v>
      </c>
      <c r="D1017" s="13">
        <f t="shared" si="20"/>
        <v>29.849602366834993</v>
      </c>
      <c r="E1017" s="61">
        <v>23</v>
      </c>
      <c r="F1017" s="65">
        <v>49.253179733642504</v>
      </c>
      <c r="G1017" s="6">
        <v>652</v>
      </c>
      <c r="H1017" s="6">
        <v>597</v>
      </c>
      <c r="I1017" s="65">
        <v>0.16205123425182943</v>
      </c>
      <c r="J1017" s="6">
        <f>VLOOKUP($D1017,Sheet1!$A$5:$C$192,3,TRUE)</f>
        <v>5</v>
      </c>
      <c r="K1017" s="42" t="str">
        <f>VLOOKUP($D1017,Sheet1!$A$5:$C$192,2,TRUE)</f>
        <v>|)</v>
      </c>
      <c r="L1017" s="6">
        <f>FLOOR(VLOOKUP($D1017,Sheet1!$D$5:$F$192,3,TRUE),1)</f>
        <v>12</v>
      </c>
      <c r="M1017" s="42" t="str">
        <f>VLOOKUP($D1017,Sheet1!$D$5:$F$192,2,TRUE)</f>
        <v>)|)</v>
      </c>
      <c r="N1017" s="23">
        <f>FLOOR(VLOOKUP($D1017,Sheet1!$G$5:$I$192,3,TRUE),1)</f>
        <v>15</v>
      </c>
      <c r="O1017" s="42" t="str">
        <f>VLOOKUP($D1017,Sheet1!$G$5:$I$192,2,TRUE)</f>
        <v>'|)</v>
      </c>
      <c r="P1017" s="23">
        <v>1</v>
      </c>
      <c r="Q1017" s="43" t="str">
        <f>VLOOKUP($D1017,Sheet1!$J$5:$L$192,2,TRUE)</f>
        <v>'|)'</v>
      </c>
      <c r="R1017" s="23">
        <f>FLOOR(VLOOKUP($D1017,Sheet1!$M$5:$O$192,3,TRUE),1)</f>
        <v>61</v>
      </c>
      <c r="S1017" s="42" t="str">
        <f>VLOOKUP($D1017,Sheet1!$M$5:$O$192,2,TRUE)</f>
        <v>)|)..</v>
      </c>
      <c r="T1017" s="117">
        <f>IF(ABS(D1017-VLOOKUP($D1017,Sheet1!$M$5:$T$192,8,TRUE))&lt;10^-10,"SoCA",D1017-VLOOKUP($D1017,Sheet1!$M$5:$T$192,8,TRUE))</f>
        <v>4.0016042371615157E-2</v>
      </c>
      <c r="U1017" s="109">
        <f>IF(VLOOKUP($D1017,Sheet1!$M$5:$U$192,9,TRUE)=0,"",IF(ABS(D1017-VLOOKUP($D1017,Sheet1!$M$5:$U$192,9,TRUE))&lt;10^-10,"Alt.",D1017-VLOOKUP($D1017,Sheet1!$M$5:$U$192,9,TRUE)))</f>
        <v>2.5963874977158241E-2</v>
      </c>
      <c r="V1017" s="132">
        <f>$D1017-Sheet1!$M$3*$R1017</f>
        <v>8.6575029837451467E-2</v>
      </c>
      <c r="Z1017" s="6"/>
      <c r="AA1017" s="61"/>
    </row>
    <row r="1018" spans="1:27" ht="13.5">
      <c r="A1018" s="87" t="s">
        <v>273</v>
      </c>
      <c r="B1018" s="87">
        <f>2^10*3</f>
        <v>3072</v>
      </c>
      <c r="C1018" s="87">
        <f>5^5</f>
        <v>3125</v>
      </c>
      <c r="D1018" s="13">
        <f t="shared" si="20"/>
        <v>29.613568458786798</v>
      </c>
      <c r="E1018" s="61">
        <v>5</v>
      </c>
      <c r="F1018" s="65">
        <v>50.08264530415309</v>
      </c>
      <c r="G1018" s="6">
        <v>84</v>
      </c>
      <c r="H1018" s="6">
        <v>79</v>
      </c>
      <c r="I1018" s="65">
        <v>-2.8234152981112985</v>
      </c>
      <c r="J1018" s="6">
        <f>VLOOKUP($D1018,Sheet1!$A$5:$C$192,3,TRUE)</f>
        <v>5</v>
      </c>
      <c r="K1018" s="42" t="str">
        <f>VLOOKUP($D1018,Sheet1!$A$5:$C$192,2,TRUE)</f>
        <v>|)</v>
      </c>
      <c r="L1018" s="6">
        <f>FLOOR(VLOOKUP($D1018,Sheet1!$D$5:$F$192,3,TRUE),1)</f>
        <v>12</v>
      </c>
      <c r="M1018" s="42" t="str">
        <f>VLOOKUP($D1018,Sheet1!$D$5:$F$192,2,TRUE)</f>
        <v>)|)</v>
      </c>
      <c r="N1018" s="23">
        <f>FLOOR(VLOOKUP($D1018,Sheet1!$G$5:$I$192,3,TRUE),1)</f>
        <v>15</v>
      </c>
      <c r="O1018" s="42" t="str">
        <f>VLOOKUP($D1018,Sheet1!$G$5:$I$192,2,TRUE)</f>
        <v>'|)</v>
      </c>
      <c r="P1018" s="23">
        <v>1</v>
      </c>
      <c r="Q1018" s="45" t="str">
        <f>VLOOKUP($D1018,Sheet1!$J$5:$L$192,2,TRUE)</f>
        <v>'|)'</v>
      </c>
      <c r="R1018" s="38">
        <f>FLOOR(VLOOKUP($D1018,Sheet1!$M$5:$O$192,3,TRUE),1)</f>
        <v>61</v>
      </c>
      <c r="S1018" s="45" t="str">
        <f>VLOOKUP($D1018,Sheet1!$M$5:$O$192,2,TRUE)</f>
        <v>'|)'</v>
      </c>
      <c r="T1018" s="108">
        <f>IF(ABS(D1018-VLOOKUP($D1018,Sheet1!$M$5:$T$192,8,TRUE))&lt;10^-10,"SoCA",D1018-VLOOKUP($D1018,Sheet1!$M$5:$T$192,8,TRUE))</f>
        <v>-2.6960295202322015E-2</v>
      </c>
      <c r="U1018" s="112" t="str">
        <f>IF(VLOOKUP($D1018,Sheet1!$M$5:$U$192,9,TRUE)=0,"",IF(ABS(D1018-VLOOKUP($D1018,Sheet1!$M$5:$U$192,9,TRUE))&lt;10^-10,"Alt.",D1018-VLOOKUP($D1018,Sheet1!$M$5:$U$192,9,TRUE)))</f>
        <v>Alt.</v>
      </c>
      <c r="V1018" s="133">
        <f>$D1018-Sheet1!$M$3*$R1018</f>
        <v>-0.14945887821074422</v>
      </c>
      <c r="Z1018" s="6"/>
      <c r="AA1018" s="61"/>
    </row>
    <row r="1019" spans="1:27" ht="13.5">
      <c r="A1019" t="s">
        <v>585</v>
      </c>
      <c r="B1019">
        <v>1088</v>
      </c>
      <c r="C1019">
        <v>1107</v>
      </c>
      <c r="D1019" s="13">
        <f t="shared" si="20"/>
        <v>29.971998637455574</v>
      </c>
      <c r="E1019" s="61">
        <v>41</v>
      </c>
      <c r="F1019" s="65">
        <v>58.115648293199385</v>
      </c>
      <c r="G1019" s="6">
        <v>462</v>
      </c>
      <c r="H1019" s="6">
        <v>430</v>
      </c>
      <c r="I1019" s="65">
        <v>1.1545148499558289</v>
      </c>
      <c r="J1019" s="6">
        <f>VLOOKUP($D1019,Sheet1!$A$5:$C$192,3,TRUE)</f>
        <v>5</v>
      </c>
      <c r="K1019" s="42" t="str">
        <f>VLOOKUP($D1019,Sheet1!$A$5:$C$192,2,TRUE)</f>
        <v>|)</v>
      </c>
      <c r="L1019" s="6">
        <f>FLOOR(VLOOKUP($D1019,Sheet1!$D$5:$F$192,3,TRUE),1)</f>
        <v>12</v>
      </c>
      <c r="M1019" s="42" t="str">
        <f>VLOOKUP($D1019,Sheet1!$D$5:$F$192,2,TRUE)</f>
        <v>)|)</v>
      </c>
      <c r="N1019" s="23">
        <f>FLOOR(VLOOKUP($D1019,Sheet1!$G$5:$I$192,3,TRUE),1)</f>
        <v>15</v>
      </c>
      <c r="O1019" s="42" t="str">
        <f>VLOOKUP($D1019,Sheet1!$G$5:$I$192,2,TRUE)</f>
        <v>'|)</v>
      </c>
      <c r="P1019" s="23">
        <v>1</v>
      </c>
      <c r="Q1019" s="43" t="str">
        <f>VLOOKUP($D1019,Sheet1!$J$5:$L$192,2,TRUE)</f>
        <v>'|)'</v>
      </c>
      <c r="R1019" s="23">
        <f>FLOOR(VLOOKUP($D1019,Sheet1!$M$5:$O$192,3,TRUE),1)</f>
        <v>61</v>
      </c>
      <c r="S1019" s="42" t="str">
        <f>VLOOKUP($D1019,Sheet1!$M$5:$O$192,2,TRUE)</f>
        <v>)|)..</v>
      </c>
      <c r="T1019" s="117">
        <f>IF(ABS(D1019-VLOOKUP($D1019,Sheet1!$M$5:$T$192,8,TRUE))&lt;10^-10,"SoCA",D1019-VLOOKUP($D1019,Sheet1!$M$5:$T$192,8,TRUE))</f>
        <v>0.1624123129921955</v>
      </c>
      <c r="U1019" s="109">
        <f>IF(VLOOKUP($D1019,Sheet1!$M$5:$U$192,9,TRUE)=0,"",IF(ABS(D1019-VLOOKUP($D1019,Sheet1!$M$5:$U$192,9,TRUE))&lt;10^-10,"Alt.",D1019-VLOOKUP($D1019,Sheet1!$M$5:$U$192,9,TRUE)))</f>
        <v>0.14836014559773858</v>
      </c>
      <c r="V1019" s="132">
        <f>$D1019-Sheet1!$M$3*$R1019</f>
        <v>0.20897130045803181</v>
      </c>
      <c r="Z1019" s="6"/>
      <c r="AA1019" s="61"/>
    </row>
    <row r="1020" spans="1:27" ht="13.5">
      <c r="A1020" t="s">
        <v>1302</v>
      </c>
      <c r="B1020">
        <v>2031616</v>
      </c>
      <c r="C1020">
        <v>2066715</v>
      </c>
      <c r="D1020" s="13">
        <f t="shared" si="20"/>
        <v>29.654056523583499</v>
      </c>
      <c r="E1020" s="61">
        <v>31</v>
      </c>
      <c r="F1020" s="65">
        <v>65.403807357119277</v>
      </c>
      <c r="G1020" s="6">
        <v>1066</v>
      </c>
      <c r="H1020" s="6">
        <v>1151</v>
      </c>
      <c r="I1020" s="65">
        <v>8.1740917042331169</v>
      </c>
      <c r="J1020" s="6">
        <f>VLOOKUP($D1020,Sheet1!$A$5:$C$192,3,TRUE)</f>
        <v>5</v>
      </c>
      <c r="K1020" s="42" t="str">
        <f>VLOOKUP($D1020,Sheet1!$A$5:$C$192,2,TRUE)</f>
        <v>|)</v>
      </c>
      <c r="L1020" s="6">
        <f>FLOOR(VLOOKUP($D1020,Sheet1!$D$5:$F$192,3,TRUE),1)</f>
        <v>12</v>
      </c>
      <c r="M1020" s="42" t="str">
        <f>VLOOKUP($D1020,Sheet1!$D$5:$F$192,2,TRUE)</f>
        <v>)|)</v>
      </c>
      <c r="N1020" s="23">
        <f>FLOOR(VLOOKUP($D1020,Sheet1!$G$5:$I$192,3,TRUE),1)</f>
        <v>15</v>
      </c>
      <c r="O1020" s="42" t="str">
        <f>VLOOKUP($D1020,Sheet1!$G$5:$I$192,2,TRUE)</f>
        <v>'|)</v>
      </c>
      <c r="P1020" s="23">
        <v>1</v>
      </c>
      <c r="Q1020" s="43" t="str">
        <f>VLOOKUP($D1020,Sheet1!$J$5:$L$192,2,TRUE)</f>
        <v>'|)'</v>
      </c>
      <c r="R1020" s="23">
        <f>FLOOR(VLOOKUP($D1020,Sheet1!$M$5:$O$192,3,TRUE),1)</f>
        <v>61</v>
      </c>
      <c r="S1020" s="42" t="str">
        <f>VLOOKUP($D1020,Sheet1!$M$5:$O$192,2,TRUE)</f>
        <v>'|)'</v>
      </c>
      <c r="T1020" s="117">
        <f>IF(ABS(D1020-VLOOKUP($D1020,Sheet1!$M$5:$T$192,8,TRUE))&lt;10^-10,"SoCA",D1020-VLOOKUP($D1020,Sheet1!$M$5:$T$192,8,TRUE))</f>
        <v>1.352776959437918E-2</v>
      </c>
      <c r="U1020" s="109">
        <f>IF(VLOOKUP($D1020,Sheet1!$M$5:$U$192,9,TRUE)=0,"",IF(ABS(D1020-VLOOKUP($D1020,Sheet1!$M$5:$U$192,9,TRUE))&lt;10^-10,"Alt.",D1020-VLOOKUP($D1020,Sheet1!$M$5:$U$192,9,TRUE)))</f>
        <v>4.0488064796814882E-2</v>
      </c>
      <c r="V1020" s="132">
        <f>$D1020-Sheet1!$M$3*$R1020</f>
        <v>-0.10897081341404302</v>
      </c>
      <c r="Z1020" s="6"/>
      <c r="AA1020" s="61"/>
    </row>
    <row r="1021" spans="1:27" ht="13.5">
      <c r="A1021" t="s">
        <v>741</v>
      </c>
      <c r="B1021">
        <v>7168</v>
      </c>
      <c r="C1021">
        <v>7293</v>
      </c>
      <c r="D1021" s="13">
        <f t="shared" si="20"/>
        <v>29.930108030737134</v>
      </c>
      <c r="E1021" s="61">
        <v>17</v>
      </c>
      <c r="F1021" s="65">
        <v>67.240992532503043</v>
      </c>
      <c r="G1021" s="6">
        <v>633</v>
      </c>
      <c r="H1021" s="6">
        <v>586</v>
      </c>
      <c r="I1021" s="65">
        <v>-0.84290579277272748</v>
      </c>
      <c r="J1021" s="6">
        <f>VLOOKUP($D1021,Sheet1!$A$5:$C$192,3,TRUE)</f>
        <v>5</v>
      </c>
      <c r="K1021" s="42" t="str">
        <f>VLOOKUP($D1021,Sheet1!$A$5:$C$192,2,TRUE)</f>
        <v>|)</v>
      </c>
      <c r="L1021" s="6">
        <f>FLOOR(VLOOKUP($D1021,Sheet1!$D$5:$F$192,3,TRUE),1)</f>
        <v>12</v>
      </c>
      <c r="M1021" s="42" t="str">
        <f>VLOOKUP($D1021,Sheet1!$D$5:$F$192,2,TRUE)</f>
        <v>)|)</v>
      </c>
      <c r="N1021" s="23">
        <f>FLOOR(VLOOKUP($D1021,Sheet1!$G$5:$I$192,3,TRUE),1)</f>
        <v>15</v>
      </c>
      <c r="O1021" s="42" t="str">
        <f>VLOOKUP($D1021,Sheet1!$G$5:$I$192,2,TRUE)</f>
        <v>'|)</v>
      </c>
      <c r="P1021" s="23">
        <v>1</v>
      </c>
      <c r="Q1021" s="43" t="str">
        <f>VLOOKUP($D1021,Sheet1!$J$5:$L$192,2,TRUE)</f>
        <v>'|)'</v>
      </c>
      <c r="R1021" s="23">
        <f>FLOOR(VLOOKUP($D1021,Sheet1!$M$5:$O$192,3,TRUE),1)</f>
        <v>61</v>
      </c>
      <c r="S1021" s="42" t="str">
        <f>VLOOKUP($D1021,Sheet1!$M$5:$O$192,2,TRUE)</f>
        <v>)|)..</v>
      </c>
      <c r="T1021" s="117">
        <f>IF(ABS(D1021-VLOOKUP($D1021,Sheet1!$M$5:$T$192,8,TRUE))&lt;10^-10,"SoCA",D1021-VLOOKUP($D1021,Sheet1!$M$5:$T$192,8,TRUE))</f>
        <v>0.12052170627375602</v>
      </c>
      <c r="U1021" s="109">
        <f>IF(VLOOKUP($D1021,Sheet1!$M$5:$U$192,9,TRUE)=0,"",IF(ABS(D1021-VLOOKUP($D1021,Sheet1!$M$5:$U$192,9,TRUE))&lt;10^-10,"Alt.",D1021-VLOOKUP($D1021,Sheet1!$M$5:$U$192,9,TRUE)))</f>
        <v>0.10646953887929911</v>
      </c>
      <c r="V1021" s="132">
        <f>$D1021-Sheet1!$M$3*$R1021</f>
        <v>0.16708069373959233</v>
      </c>
      <c r="Z1021" s="6"/>
      <c r="AA1021" s="61"/>
    </row>
    <row r="1022" spans="1:27" ht="13.5">
      <c r="A1022" s="6" t="s">
        <v>1969</v>
      </c>
      <c r="B1022" s="6">
        <v>177147</v>
      </c>
      <c r="C1022" s="6">
        <v>180224</v>
      </c>
      <c r="D1022" s="13">
        <f t="shared" si="20"/>
        <v>29.812932845495254</v>
      </c>
      <c r="E1022" s="61">
        <v>11</v>
      </c>
      <c r="F1022" s="65">
        <v>79.500247483332771</v>
      </c>
      <c r="G1022" s="18">
        <v>2000000</v>
      </c>
      <c r="H1022" s="18">
        <v>2000000</v>
      </c>
      <c r="I1022" s="104">
        <v>51.790702810843726</v>
      </c>
      <c r="J1022" s="6">
        <f>VLOOKUP($D1022,Sheet1!$A$5:$C$192,3,TRUE)</f>
        <v>5</v>
      </c>
      <c r="K1022" s="42" t="str">
        <f>VLOOKUP($D1022,Sheet1!$A$5:$C$192,2,TRUE)</f>
        <v>|)</v>
      </c>
      <c r="L1022" s="6">
        <f>FLOOR(VLOOKUP($D1022,Sheet1!$D$5:$F$192,3,TRUE),1)</f>
        <v>12</v>
      </c>
      <c r="M1022" s="42" t="str">
        <f>VLOOKUP($D1022,Sheet1!$D$5:$F$192,2,TRUE)</f>
        <v>)|)</v>
      </c>
      <c r="N1022" s="23">
        <f>FLOOR(VLOOKUP($D1022,Sheet1!$G$5:$I$192,3,TRUE),1)</f>
        <v>15</v>
      </c>
      <c r="O1022" s="42" t="str">
        <f>VLOOKUP($D1022,Sheet1!$G$5:$I$192,2,TRUE)</f>
        <v>'|)</v>
      </c>
      <c r="P1022" s="23">
        <v>1</v>
      </c>
      <c r="Q1022" s="43" t="str">
        <f>VLOOKUP($D1022,Sheet1!$J$5:$L$192,2,TRUE)</f>
        <v>'|)'</v>
      </c>
      <c r="R1022" s="23">
        <f>FLOOR(VLOOKUP($D1022,Sheet1!$M$5:$O$192,3,TRUE),1)</f>
        <v>61</v>
      </c>
      <c r="S1022" s="42" t="str">
        <f>VLOOKUP($D1022,Sheet1!$M$5:$O$192,2,TRUE)</f>
        <v>)|)..</v>
      </c>
      <c r="T1022" s="117">
        <f>IF(ABS(D1022-VLOOKUP($D1022,Sheet1!$M$5:$T$192,8,TRUE))&lt;10^-10,"SoCA",D1022-VLOOKUP($D1022,Sheet1!$M$5:$T$192,8,TRUE))</f>
        <v>3.3465210318759375E-3</v>
      </c>
      <c r="U1022" s="109">
        <f>IF(VLOOKUP($D1022,Sheet1!$M$5:$U$192,9,TRUE)=0,"",IF(ABS(D1022-VLOOKUP($D1022,Sheet1!$M$5:$U$192,9,TRUE))&lt;10^-10,"Alt.",D1022-VLOOKUP($D1022,Sheet1!$M$5:$U$192,9,TRUE)))</f>
        <v>-1.0705646362580978E-2</v>
      </c>
      <c r="V1022" s="132">
        <f>$D1022-Sheet1!$M$3*$R1022</f>
        <v>4.9905508497712248E-2</v>
      </c>
      <c r="Z1022" s="6"/>
      <c r="AA1022" s="61"/>
    </row>
    <row r="1023" spans="1:27" ht="13.5">
      <c r="A1023" t="s">
        <v>533</v>
      </c>
      <c r="B1023">
        <v>303104</v>
      </c>
      <c r="C1023">
        <v>308367</v>
      </c>
      <c r="D1023" s="13">
        <f t="shared" si="20"/>
        <v>29.802590181524469</v>
      </c>
      <c r="E1023" s="61">
        <v>47</v>
      </c>
      <c r="F1023" s="65">
        <v>88.032500070805398</v>
      </c>
      <c r="G1023" s="6">
        <v>389</v>
      </c>
      <c r="H1023" s="6">
        <v>376</v>
      </c>
      <c r="I1023" s="65">
        <v>6.1649459457761147</v>
      </c>
      <c r="J1023" s="6">
        <f>VLOOKUP($D1023,Sheet1!$A$5:$C$192,3,TRUE)</f>
        <v>5</v>
      </c>
      <c r="K1023" s="42" t="str">
        <f>VLOOKUP($D1023,Sheet1!$A$5:$C$192,2,TRUE)</f>
        <v>|)</v>
      </c>
      <c r="L1023" s="6">
        <f>FLOOR(VLOOKUP($D1023,Sheet1!$D$5:$F$192,3,TRUE),1)</f>
        <v>12</v>
      </c>
      <c r="M1023" s="42" t="str">
        <f>VLOOKUP($D1023,Sheet1!$D$5:$F$192,2,TRUE)</f>
        <v>)|)</v>
      </c>
      <c r="N1023" s="23">
        <f>FLOOR(VLOOKUP($D1023,Sheet1!$G$5:$I$192,3,TRUE),1)</f>
        <v>15</v>
      </c>
      <c r="O1023" s="42" t="str">
        <f>VLOOKUP($D1023,Sheet1!$G$5:$I$192,2,TRUE)</f>
        <v>'|)</v>
      </c>
      <c r="P1023" s="23">
        <v>1</v>
      </c>
      <c r="Q1023" s="43" t="str">
        <f>VLOOKUP($D1023,Sheet1!$J$5:$L$192,2,TRUE)</f>
        <v>'|)'</v>
      </c>
      <c r="R1023" s="23">
        <f>FLOOR(VLOOKUP($D1023,Sheet1!$M$5:$O$192,3,TRUE),1)</f>
        <v>61</v>
      </c>
      <c r="S1023" s="42" t="str">
        <f>VLOOKUP($D1023,Sheet1!$M$5:$O$192,2,TRUE)</f>
        <v>)|)..</v>
      </c>
      <c r="T1023" s="117">
        <f>IF(ABS(D1023-VLOOKUP($D1023,Sheet1!$M$5:$T$192,8,TRUE))&lt;10^-10,"SoCA",D1023-VLOOKUP($D1023,Sheet1!$M$5:$T$192,8,TRUE))</f>
        <v>-6.9961429389095997E-3</v>
      </c>
      <c r="U1023" s="109">
        <f>IF(VLOOKUP($D1023,Sheet1!$M$5:$U$192,9,TRUE)=0,"",IF(ABS(D1023-VLOOKUP($D1023,Sheet1!$M$5:$U$192,9,TRUE))&lt;10^-10,"Alt.",D1023-VLOOKUP($D1023,Sheet1!$M$5:$U$192,9,TRUE)))</f>
        <v>-2.1048310333366516E-2</v>
      </c>
      <c r="V1023" s="132">
        <f>$D1023-Sheet1!$M$3*$R1023</f>
        <v>3.956284452692671E-2</v>
      </c>
      <c r="Z1023" s="6"/>
      <c r="AA1023" s="61"/>
    </row>
    <row r="1024" spans="1:27" ht="13.5">
      <c r="A1024" t="s">
        <v>1547</v>
      </c>
      <c r="B1024">
        <v>25600000</v>
      </c>
      <c r="C1024">
        <v>26040609</v>
      </c>
      <c r="D1024" s="13">
        <f t="shared" si="20"/>
        <v>29.543253998724825</v>
      </c>
      <c r="E1024" s="61">
        <v>7</v>
      </c>
      <c r="F1024" s="65">
        <v>116.32113759086158</v>
      </c>
      <c r="G1024" s="6">
        <v>833</v>
      </c>
      <c r="H1024" s="6">
        <v>1396</v>
      </c>
      <c r="I1024" s="65">
        <v>10.180914219364242</v>
      </c>
      <c r="J1024" s="6">
        <f>VLOOKUP($D1024,Sheet1!$A$5:$C$192,3,TRUE)</f>
        <v>5</v>
      </c>
      <c r="K1024" s="42" t="str">
        <f>VLOOKUP($D1024,Sheet1!$A$5:$C$192,2,TRUE)</f>
        <v>|)</v>
      </c>
      <c r="L1024" s="6">
        <f>FLOOR(VLOOKUP($D1024,Sheet1!$D$5:$F$192,3,TRUE),1)</f>
        <v>12</v>
      </c>
      <c r="M1024" s="42" t="str">
        <f>VLOOKUP($D1024,Sheet1!$D$5:$F$192,2,TRUE)</f>
        <v>)|)</v>
      </c>
      <c r="N1024" s="23">
        <f>FLOOR(VLOOKUP($D1024,Sheet1!$G$5:$I$192,3,TRUE),1)</f>
        <v>15</v>
      </c>
      <c r="O1024" s="42" t="str">
        <f>VLOOKUP($D1024,Sheet1!$G$5:$I$192,2,TRUE)</f>
        <v>'|)</v>
      </c>
      <c r="P1024" s="23">
        <v>1</v>
      </c>
      <c r="Q1024" s="43" t="str">
        <f>VLOOKUP($D1024,Sheet1!$J$5:$L$192,2,TRUE)</f>
        <v>'|)'</v>
      </c>
      <c r="R1024" s="23">
        <f>FLOOR(VLOOKUP($D1024,Sheet1!$M$5:$O$192,3,TRUE),1)</f>
        <v>61</v>
      </c>
      <c r="S1024" s="42" t="str">
        <f>VLOOKUP($D1024,Sheet1!$M$5:$O$192,2,TRUE)</f>
        <v>'|)'</v>
      </c>
      <c r="T1024" s="117">
        <f>IF(ABS(D1024-VLOOKUP($D1024,Sheet1!$M$5:$T$192,8,TRUE))&lt;10^-10,"SoCA",D1024-VLOOKUP($D1024,Sheet1!$M$5:$T$192,8,TRUE))</f>
        <v>-9.7274755264294299E-2</v>
      </c>
      <c r="U1024" s="109">
        <f>IF(VLOOKUP($D1024,Sheet1!$M$5:$U$192,9,TRUE)=0,"",IF(ABS(D1024-VLOOKUP($D1024,Sheet1!$M$5:$U$192,9,TRUE))&lt;10^-10,"Alt.",D1024-VLOOKUP($D1024,Sheet1!$M$5:$U$192,9,TRUE)))</f>
        <v>-7.0314460061858597E-2</v>
      </c>
      <c r="V1024" s="132">
        <f>$D1024-Sheet1!$M$3*$R1024</f>
        <v>-0.2197733382727165</v>
      </c>
      <c r="Z1024" s="6"/>
      <c r="AA1024" s="61"/>
    </row>
    <row r="1025" spans="1:27" ht="13.5">
      <c r="A1025" t="s">
        <v>834</v>
      </c>
      <c r="B1025">
        <v>5913</v>
      </c>
      <c r="C1025">
        <v>6016</v>
      </c>
      <c r="D1025" s="13">
        <f t="shared" si="20"/>
        <v>29.897147895594408</v>
      </c>
      <c r="E1025" s="61" t="s">
        <v>1931</v>
      </c>
      <c r="F1025" s="65">
        <v>120.97286173723947</v>
      </c>
      <c r="G1025" s="6">
        <v>646</v>
      </c>
      <c r="H1025" s="6">
        <v>681</v>
      </c>
      <c r="I1025" s="65">
        <v>-5.8408763171716798</v>
      </c>
      <c r="J1025" s="6">
        <f>VLOOKUP($D1025,Sheet1!$A$5:$C$192,3,TRUE)</f>
        <v>5</v>
      </c>
      <c r="K1025" s="42" t="str">
        <f>VLOOKUP($D1025,Sheet1!$A$5:$C$192,2,TRUE)</f>
        <v>|)</v>
      </c>
      <c r="L1025" s="6">
        <f>FLOOR(VLOOKUP($D1025,Sheet1!$D$5:$F$192,3,TRUE),1)</f>
        <v>12</v>
      </c>
      <c r="M1025" s="42" t="str">
        <f>VLOOKUP($D1025,Sheet1!$D$5:$F$192,2,TRUE)</f>
        <v>)|)</v>
      </c>
      <c r="N1025" s="23">
        <f>FLOOR(VLOOKUP($D1025,Sheet1!$G$5:$I$192,3,TRUE),1)</f>
        <v>15</v>
      </c>
      <c r="O1025" s="42" t="str">
        <f>VLOOKUP($D1025,Sheet1!$G$5:$I$192,2,TRUE)</f>
        <v>'|)</v>
      </c>
      <c r="P1025" s="23">
        <v>1</v>
      </c>
      <c r="Q1025" s="43" t="str">
        <f>VLOOKUP($D1025,Sheet1!$J$5:$L$192,2,TRUE)</f>
        <v>'|)'</v>
      </c>
      <c r="R1025" s="23">
        <f>FLOOR(VLOOKUP($D1025,Sheet1!$M$5:$O$192,3,TRUE),1)</f>
        <v>61</v>
      </c>
      <c r="S1025" s="42" t="str">
        <f>VLOOKUP($D1025,Sheet1!$M$5:$O$192,2,TRUE)</f>
        <v>)|)..</v>
      </c>
      <c r="T1025" s="117">
        <f>IF(ABS(D1025-VLOOKUP($D1025,Sheet1!$M$5:$T$192,8,TRUE))&lt;10^-10,"SoCA",D1025-VLOOKUP($D1025,Sheet1!$M$5:$T$192,8,TRUE))</f>
        <v>8.7561571131029581E-2</v>
      </c>
      <c r="U1025" s="109">
        <f>IF(VLOOKUP($D1025,Sheet1!$M$5:$U$192,9,TRUE)=0,"",IF(ABS(D1025-VLOOKUP($D1025,Sheet1!$M$5:$U$192,9,TRUE))&lt;10^-10,"Alt.",D1025-VLOOKUP($D1025,Sheet1!$M$5:$U$192,9,TRUE)))</f>
        <v>7.3509403736572665E-2</v>
      </c>
      <c r="V1025" s="132">
        <f>$D1025-Sheet1!$M$3*$R1025</f>
        <v>0.13412055859686589</v>
      </c>
      <c r="Z1025" s="6"/>
      <c r="AA1025" s="61"/>
    </row>
    <row r="1026" spans="1:27" ht="13.5">
      <c r="A1026" t="s">
        <v>1108</v>
      </c>
      <c r="B1026">
        <v>1605632</v>
      </c>
      <c r="C1026">
        <v>1633689</v>
      </c>
      <c r="D1026" s="13">
        <f t="shared" si="20"/>
        <v>29.990512466546758</v>
      </c>
      <c r="E1026" s="61" t="s">
        <v>1931</v>
      </c>
      <c r="F1026" s="65">
        <v>124.70533160697185</v>
      </c>
      <c r="G1026" s="6">
        <v>872</v>
      </c>
      <c r="H1026" s="6">
        <v>957</v>
      </c>
      <c r="I1026" s="65">
        <v>7.1533748860491331</v>
      </c>
      <c r="J1026" s="6">
        <f>VLOOKUP($D1026,Sheet1!$A$5:$C$192,3,TRUE)</f>
        <v>5</v>
      </c>
      <c r="K1026" s="42" t="str">
        <f>VLOOKUP($D1026,Sheet1!$A$5:$C$192,2,TRUE)</f>
        <v>|)</v>
      </c>
      <c r="L1026" s="6">
        <f>FLOOR(VLOOKUP($D1026,Sheet1!$D$5:$F$192,3,TRUE),1)</f>
        <v>12</v>
      </c>
      <c r="M1026" s="42" t="str">
        <f>VLOOKUP($D1026,Sheet1!$D$5:$F$192,2,TRUE)</f>
        <v>)|)</v>
      </c>
      <c r="N1026" s="23">
        <f>FLOOR(VLOOKUP($D1026,Sheet1!$G$5:$I$192,3,TRUE),1)</f>
        <v>15</v>
      </c>
      <c r="O1026" s="42" t="str">
        <f>VLOOKUP($D1026,Sheet1!$G$5:$I$192,2,TRUE)</f>
        <v>'|)</v>
      </c>
      <c r="P1026" s="23">
        <v>1</v>
      </c>
      <c r="Q1026" s="43" t="str">
        <f>VLOOKUP($D1026,Sheet1!$J$5:$L$192,2,TRUE)</f>
        <v>'|)'</v>
      </c>
      <c r="R1026" s="23">
        <f>FLOOR(VLOOKUP($D1026,Sheet1!$M$5:$O$192,3,TRUE),1)</f>
        <v>61</v>
      </c>
      <c r="S1026" s="42" t="str">
        <f>VLOOKUP($D1026,Sheet1!$M$5:$O$192,2,TRUE)</f>
        <v>)|)..</v>
      </c>
      <c r="T1026" s="117">
        <f>IF(ABS(D1026-VLOOKUP($D1026,Sheet1!$M$5:$T$192,8,TRUE))&lt;10^-10,"SoCA",D1026-VLOOKUP($D1026,Sheet1!$M$5:$T$192,8,TRUE))</f>
        <v>0.1809261420833792</v>
      </c>
      <c r="U1026" s="109">
        <f>IF(VLOOKUP($D1026,Sheet1!$M$5:$U$192,9,TRUE)=0,"",IF(ABS(D1026-VLOOKUP($D1026,Sheet1!$M$5:$U$192,9,TRUE))&lt;10^-10,"Alt.",D1026-VLOOKUP($D1026,Sheet1!$M$5:$U$192,9,TRUE)))</f>
        <v>0.16687397468892229</v>
      </c>
      <c r="V1026" s="132">
        <f>$D1026-Sheet1!$M$3*$R1026</f>
        <v>0.22748512954921551</v>
      </c>
      <c r="Z1026" s="6"/>
      <c r="AA1026" s="61"/>
    </row>
    <row r="1027" spans="1:27" ht="13.5">
      <c r="A1027" t="s">
        <v>1612</v>
      </c>
      <c r="B1027">
        <v>28431</v>
      </c>
      <c r="C1027">
        <v>28928</v>
      </c>
      <c r="D1027" s="13">
        <f t="shared" si="20"/>
        <v>30.002087071202563</v>
      </c>
      <c r="E1027" s="61" t="s">
        <v>1931</v>
      </c>
      <c r="F1027" s="65">
        <v>133.88825733532633</v>
      </c>
      <c r="G1027" s="6">
        <v>1518</v>
      </c>
      <c r="H1027" s="6">
        <v>1461</v>
      </c>
      <c r="I1027" s="65">
        <v>-8.8473378045281059</v>
      </c>
      <c r="J1027" s="6">
        <f>VLOOKUP($D1027,Sheet1!$A$5:$C$192,3,TRUE)</f>
        <v>5</v>
      </c>
      <c r="K1027" s="42" t="str">
        <f>VLOOKUP($D1027,Sheet1!$A$5:$C$192,2,TRUE)</f>
        <v>|)</v>
      </c>
      <c r="L1027" s="6">
        <f>FLOOR(VLOOKUP($D1027,Sheet1!$D$5:$F$192,3,TRUE),1)</f>
        <v>12</v>
      </c>
      <c r="M1027" s="42" t="str">
        <f>VLOOKUP($D1027,Sheet1!$D$5:$F$192,2,TRUE)</f>
        <v>)|)</v>
      </c>
      <c r="N1027" s="23">
        <f>FLOOR(VLOOKUP($D1027,Sheet1!$G$5:$I$192,3,TRUE),1)</f>
        <v>15</v>
      </c>
      <c r="O1027" s="42" t="str">
        <f>VLOOKUP($D1027,Sheet1!$G$5:$I$192,2,TRUE)</f>
        <v>'|)</v>
      </c>
      <c r="P1027" s="23">
        <v>1</v>
      </c>
      <c r="Q1027" s="43" t="str">
        <f>VLOOKUP($D1027,Sheet1!$J$5:$L$192,2,TRUE)</f>
        <v>'|)'</v>
      </c>
      <c r="R1027" s="23">
        <f>FLOOR(VLOOKUP($D1027,Sheet1!$M$5:$O$192,3,TRUE),1)</f>
        <v>61</v>
      </c>
      <c r="S1027" s="42" t="str">
        <f>VLOOKUP($D1027,Sheet1!$M$5:$O$192,2,TRUE)</f>
        <v>)|)..</v>
      </c>
      <c r="T1027" s="117">
        <f>IF(ABS(D1027-VLOOKUP($D1027,Sheet1!$M$5:$T$192,8,TRUE))&lt;10^-10,"SoCA",D1027-VLOOKUP($D1027,Sheet1!$M$5:$T$192,8,TRUE))</f>
        <v>0.19250074673918505</v>
      </c>
      <c r="U1027" s="109">
        <f>IF(VLOOKUP($D1027,Sheet1!$M$5:$U$192,9,TRUE)=0,"",IF(ABS(D1027-VLOOKUP($D1027,Sheet1!$M$5:$U$192,9,TRUE))&lt;10^-10,"Alt.",D1027-VLOOKUP($D1027,Sheet1!$M$5:$U$192,9,TRUE)))</f>
        <v>0.17844857934472813</v>
      </c>
      <c r="V1027" s="132">
        <f>$D1027-Sheet1!$M$3*$R1027</f>
        <v>0.23905973420502136</v>
      </c>
      <c r="Z1027" s="6"/>
      <c r="AA1027" s="61"/>
    </row>
    <row r="1028" spans="1:27" ht="13.5">
      <c r="A1028" s="38" t="s">
        <v>593</v>
      </c>
      <c r="B1028" s="38">
        <f>3^5*11</f>
        <v>2673</v>
      </c>
      <c r="C1028" s="38">
        <f>2^5*5*17</f>
        <v>2720</v>
      </c>
      <c r="D1028" s="13">
        <f t="shared" ref="D1028:D1091" si="21">1200*LN($C1028/$B1028)/LN(2)</f>
        <v>30.176176673548365</v>
      </c>
      <c r="E1028" s="61">
        <v>17</v>
      </c>
      <c r="F1028" s="65">
        <v>41.053472572246562</v>
      </c>
      <c r="G1028" s="6">
        <v>419</v>
      </c>
      <c r="H1028" s="6">
        <v>438</v>
      </c>
      <c r="I1028" s="65">
        <v>-6.8580571355874893</v>
      </c>
      <c r="J1028" s="6">
        <f>VLOOKUP($D1028,Sheet1!$A$5:$C$192,3,TRUE)</f>
        <v>6</v>
      </c>
      <c r="K1028" s="42" t="str">
        <f>VLOOKUP($D1028,Sheet1!$A$5:$C$192,2,TRUE)</f>
        <v>(|</v>
      </c>
      <c r="L1028" s="6">
        <f>FLOOR(VLOOKUP($D1028,Sheet1!$D$5:$F$192,3,TRUE),1)</f>
        <v>12</v>
      </c>
      <c r="M1028" s="42" t="str">
        <f>VLOOKUP($D1028,Sheet1!$D$5:$F$192,2,TRUE)</f>
        <v>)|)</v>
      </c>
      <c r="N1028" s="23">
        <f>FLOOR(VLOOKUP($D1028,Sheet1!$G$5:$I$192,3,TRUE),1)</f>
        <v>16</v>
      </c>
      <c r="O1028" s="42" t="str">
        <f>VLOOKUP($D1028,Sheet1!$G$5:$I$192,2,TRUE)</f>
        <v>)|)</v>
      </c>
      <c r="P1028" s="23">
        <v>1</v>
      </c>
      <c r="Q1028" s="45" t="str">
        <f>VLOOKUP($D1028,Sheet1!$J$5:$L$192,2,TRUE)</f>
        <v>)|).</v>
      </c>
      <c r="R1028" s="38">
        <f>FLOOR(VLOOKUP($D1028,Sheet1!$M$5:$O$192,3,TRUE),1)</f>
        <v>62</v>
      </c>
      <c r="S1028" s="45" t="str">
        <f>VLOOKUP($D1028,Sheet1!$M$5:$O$192,2,TRUE)</f>
        <v>)|).</v>
      </c>
      <c r="T1028" s="108">
        <f>IF(ABS(D1028-VLOOKUP($D1028,Sheet1!$M$5:$T$192,8,TRUE))&lt;10^-10,"SoCA",D1028-VLOOKUP($D1028,Sheet1!$M$5:$T$192,8,TRUE))</f>
        <v>-4.3217689061787468E-2</v>
      </c>
      <c r="U1028" s="108">
        <f>IF(VLOOKUP($D1028,Sheet1!$M$5:$U$192,9,TRUE)=0,"",IF(ABS(D1028-VLOOKUP($D1028,Sheet1!$M$5:$U$192,9,TRUE))&lt;10^-10,"Alt.",D1028-VLOOKUP($D1028,Sheet1!$M$5:$U$192,9,TRUE)))</f>
        <v>-7.017798426422317E-2</v>
      </c>
      <c r="V1028" s="133">
        <f>$D1028-Sheet1!$M$3*$R1028</f>
        <v>-7.4769144383562747E-2</v>
      </c>
      <c r="Z1028" s="6"/>
      <c r="AA1028" s="61"/>
    </row>
    <row r="1029" spans="1:27" ht="13.5">
      <c r="A1029" s="21" t="s">
        <v>380</v>
      </c>
      <c r="B1029" s="21">
        <f>3*19</f>
        <v>57</v>
      </c>
      <c r="C1029" s="21">
        <f>2*29</f>
        <v>58</v>
      </c>
      <c r="D1029" s="13">
        <f t="shared" si="21"/>
        <v>30.109177155396626</v>
      </c>
      <c r="E1029" s="61">
        <v>29</v>
      </c>
      <c r="F1029" s="65">
        <v>48.099731664308266</v>
      </c>
      <c r="G1029" s="6">
        <v>238</v>
      </c>
      <c r="H1029" s="6">
        <v>215</v>
      </c>
      <c r="I1029" s="65">
        <v>-2.8539317311623522</v>
      </c>
      <c r="J1029" s="6">
        <f>VLOOKUP($D1029,Sheet1!$A$5:$C$192,3,TRUE)</f>
        <v>6</v>
      </c>
      <c r="K1029" s="42" t="str">
        <f>VLOOKUP($D1029,Sheet1!$A$5:$C$192,2,TRUE)</f>
        <v>(|</v>
      </c>
      <c r="L1029" s="6">
        <f>FLOOR(VLOOKUP($D1029,Sheet1!$D$5:$F$192,3,TRUE),1)</f>
        <v>12</v>
      </c>
      <c r="M1029" s="42" t="str">
        <f>VLOOKUP($D1029,Sheet1!$D$5:$F$192,2,TRUE)</f>
        <v>)|)</v>
      </c>
      <c r="N1029" s="23">
        <f>FLOOR(VLOOKUP($D1029,Sheet1!$G$5:$I$192,3,TRUE),1)</f>
        <v>16</v>
      </c>
      <c r="O1029" s="42" t="str">
        <f>VLOOKUP($D1029,Sheet1!$G$5:$I$192,2,TRUE)</f>
        <v>)|)</v>
      </c>
      <c r="P1029" s="23">
        <v>1</v>
      </c>
      <c r="Q1029" s="43" t="str">
        <f>VLOOKUP($D1029,Sheet1!$J$5:$L$192,2,TRUE)</f>
        <v>)|).</v>
      </c>
      <c r="R1029" s="23">
        <f>FLOOR(VLOOKUP($D1029,Sheet1!$M$5:$O$192,3,TRUE),1)</f>
        <v>62</v>
      </c>
      <c r="S1029" s="43" t="str">
        <f>VLOOKUP($D1029,Sheet1!$M$5:$O$192,2,TRUE)</f>
        <v>)|).</v>
      </c>
      <c r="T1029" s="117">
        <f>IF(ABS(D1029-VLOOKUP($D1029,Sheet1!$M$5:$T$192,8,TRUE))&lt;10^-10,"SoCA",D1029-VLOOKUP($D1029,Sheet1!$M$5:$T$192,8,TRUE))</f>
        <v>-0.11021720721352679</v>
      </c>
      <c r="U1029" s="109">
        <f>IF(VLOOKUP($D1029,Sheet1!$M$5:$U$192,9,TRUE)=0,"",IF(ABS(D1029-VLOOKUP($D1029,Sheet1!$M$5:$U$192,9,TRUE))&lt;10^-10,"Alt.",D1029-VLOOKUP($D1029,Sheet1!$M$5:$U$192,9,TRUE)))</f>
        <v>-0.13717750241596249</v>
      </c>
      <c r="V1029" s="132">
        <f>$D1029-Sheet1!$M$3*$R1029</f>
        <v>-0.14176866253530207</v>
      </c>
      <c r="Z1029" s="6"/>
      <c r="AA1029" s="61"/>
    </row>
    <row r="1030" spans="1:27" ht="13.5">
      <c r="A1030" s="21" t="s">
        <v>122</v>
      </c>
      <c r="B1030" s="21">
        <f>2^11*5*17</f>
        <v>174080</v>
      </c>
      <c r="C1030" s="21">
        <f>3^11</f>
        <v>177147</v>
      </c>
      <c r="D1030" s="13">
        <f t="shared" si="21"/>
        <v>30.235886154019425</v>
      </c>
      <c r="E1030" s="61">
        <v>17</v>
      </c>
      <c r="F1030" s="65">
        <v>53.724293550877178</v>
      </c>
      <c r="G1030" s="6">
        <v>254</v>
      </c>
      <c r="H1030" s="6">
        <v>328</v>
      </c>
      <c r="I1030" s="65">
        <v>9.1382663341664276</v>
      </c>
      <c r="J1030" s="6">
        <f>VLOOKUP($D1030,Sheet1!$A$5:$C$192,3,TRUE)</f>
        <v>6</v>
      </c>
      <c r="K1030" s="42" t="str">
        <f>VLOOKUP($D1030,Sheet1!$A$5:$C$192,2,TRUE)</f>
        <v>(|</v>
      </c>
      <c r="L1030" s="6">
        <f>FLOOR(VLOOKUP($D1030,Sheet1!$D$5:$F$192,3,TRUE),1)</f>
        <v>12</v>
      </c>
      <c r="M1030" s="42" t="str">
        <f>VLOOKUP($D1030,Sheet1!$D$5:$F$192,2,TRUE)</f>
        <v>)|)</v>
      </c>
      <c r="N1030" s="23">
        <f>FLOOR(VLOOKUP($D1030,Sheet1!$G$5:$I$192,3,TRUE),1)</f>
        <v>16</v>
      </c>
      <c r="O1030" s="42" t="str">
        <f>VLOOKUP($D1030,Sheet1!$G$5:$I$192,2,TRUE)</f>
        <v>)|)</v>
      </c>
      <c r="P1030" s="23">
        <v>1</v>
      </c>
      <c r="Q1030" s="43" t="str">
        <f>VLOOKUP($D1030,Sheet1!$J$5:$L$192,2,TRUE)</f>
        <v>)|).</v>
      </c>
      <c r="R1030" s="23">
        <f>FLOOR(VLOOKUP($D1030,Sheet1!$M$5:$O$192,3,TRUE),1)</f>
        <v>62</v>
      </c>
      <c r="S1030" s="43" t="str">
        <f>VLOOKUP($D1030,Sheet1!$M$5:$O$192,2,TRUE)</f>
        <v>)|).</v>
      </c>
      <c r="T1030" s="117">
        <f>IF(ABS(D1030-VLOOKUP($D1030,Sheet1!$M$5:$T$192,8,TRUE))&lt;10^-10,"SoCA",D1030-VLOOKUP($D1030,Sheet1!$M$5:$T$192,8,TRUE))</f>
        <v>1.6491791409272594E-2</v>
      </c>
      <c r="U1030" s="109">
        <f>IF(VLOOKUP($D1030,Sheet1!$M$5:$U$192,9,TRUE)=0,"",IF(ABS(D1030-VLOOKUP($D1030,Sheet1!$M$5:$U$192,9,TRUE))&lt;10^-10,"Alt.",D1030-VLOOKUP($D1030,Sheet1!$M$5:$U$192,9,TRUE)))</f>
        <v>-1.0468503793163109E-2</v>
      </c>
      <c r="V1030" s="132">
        <f>$D1030-Sheet1!$M$3*$R1030</f>
        <v>-1.5059663912502685E-2</v>
      </c>
      <c r="Z1030" s="6"/>
      <c r="AA1030" s="61"/>
    </row>
    <row r="1031" spans="1:27" ht="13.5">
      <c r="A1031" s="23" t="s">
        <v>1330</v>
      </c>
      <c r="B1031" s="23">
        <f>2^13*7*19</f>
        <v>1089536</v>
      </c>
      <c r="C1031" s="23">
        <f>3^8*13^2</f>
        <v>1108809</v>
      </c>
      <c r="D1031" s="13">
        <f t="shared" si="21"/>
        <v>30.356407860292901</v>
      </c>
      <c r="E1031" s="61">
        <v>19</v>
      </c>
      <c r="F1031" s="65">
        <v>55.592741474014062</v>
      </c>
      <c r="G1031" s="6">
        <v>1241</v>
      </c>
      <c r="H1031" s="6">
        <v>1179</v>
      </c>
      <c r="I1031" s="65">
        <v>6.1308453736266877</v>
      </c>
      <c r="J1031" s="6">
        <f>VLOOKUP($D1031,Sheet1!$A$5:$C$192,3,TRUE)</f>
        <v>6</v>
      </c>
      <c r="K1031" s="42" t="str">
        <f>VLOOKUP($D1031,Sheet1!$A$5:$C$192,2,TRUE)</f>
        <v>(|</v>
      </c>
      <c r="L1031" s="6">
        <f>FLOOR(VLOOKUP($D1031,Sheet1!$D$5:$F$192,3,TRUE),1)</f>
        <v>12</v>
      </c>
      <c r="M1031" s="42" t="str">
        <f>VLOOKUP($D1031,Sheet1!$D$5:$F$192,2,TRUE)</f>
        <v>)|)</v>
      </c>
      <c r="N1031" s="23">
        <f>FLOOR(VLOOKUP($D1031,Sheet1!$G$5:$I$192,3,TRUE),1)</f>
        <v>16</v>
      </c>
      <c r="O1031" s="42" t="str">
        <f>VLOOKUP($D1031,Sheet1!$G$5:$I$192,2,TRUE)</f>
        <v>)|)</v>
      </c>
      <c r="P1031" s="23">
        <v>1</v>
      </c>
      <c r="Q1031" s="43" t="str">
        <f>VLOOKUP($D1031,Sheet1!$J$5:$L$192,2,TRUE)</f>
        <v>)|).</v>
      </c>
      <c r="R1031" s="23">
        <f>FLOOR(VLOOKUP($D1031,Sheet1!$M$5:$O$192,3,TRUE),1)</f>
        <v>62</v>
      </c>
      <c r="S1031" s="43" t="str">
        <f>VLOOKUP($D1031,Sheet1!$M$5:$O$192,2,TRUE)</f>
        <v>)|).</v>
      </c>
      <c r="T1031" s="117">
        <f>IF(ABS(D1031-VLOOKUP($D1031,Sheet1!$M$5:$T$192,8,TRUE))&lt;10^-10,"SoCA",D1031-VLOOKUP($D1031,Sheet1!$M$5:$T$192,8,TRUE))</f>
        <v>0.13701349768274795</v>
      </c>
      <c r="U1031" s="117">
        <f>IF(VLOOKUP($D1031,Sheet1!$M$5:$U$192,9,TRUE)=0,"",IF(ABS(D1031-VLOOKUP($D1031,Sheet1!$M$5:$U$192,9,TRUE))&lt;10^-10,"Alt.",D1031-VLOOKUP($D1031,Sheet1!$M$5:$U$192,9,TRUE)))</f>
        <v>0.11005320248031225</v>
      </c>
      <c r="V1031" s="132">
        <f>$D1031-Sheet1!$M$3*$R1031</f>
        <v>0.10546204236097267</v>
      </c>
      <c r="Z1031" s="6"/>
      <c r="AA1031" s="61"/>
    </row>
    <row r="1032" spans="1:27" ht="13.5">
      <c r="A1032" t="s">
        <v>1210</v>
      </c>
      <c r="B1032">
        <v>621</v>
      </c>
      <c r="C1032">
        <v>632</v>
      </c>
      <c r="D1032" s="13">
        <f t="shared" si="21"/>
        <v>30.397547947945942</v>
      </c>
      <c r="E1032" s="61" t="s">
        <v>1931</v>
      </c>
      <c r="F1032" s="65">
        <v>102.47820361198893</v>
      </c>
      <c r="G1032" s="6">
        <v>1116</v>
      </c>
      <c r="H1032" s="6">
        <v>1059</v>
      </c>
      <c r="I1032" s="65">
        <v>-4.8716877714516098</v>
      </c>
      <c r="J1032" s="6">
        <f>VLOOKUP($D1032,Sheet1!$A$5:$C$192,3,TRUE)</f>
        <v>6</v>
      </c>
      <c r="K1032" s="42" t="str">
        <f>VLOOKUP($D1032,Sheet1!$A$5:$C$192,2,TRUE)</f>
        <v>(|</v>
      </c>
      <c r="L1032" s="6">
        <f>FLOOR(VLOOKUP($D1032,Sheet1!$D$5:$F$192,3,TRUE),1)</f>
        <v>12</v>
      </c>
      <c r="M1032" s="42" t="str">
        <f>VLOOKUP($D1032,Sheet1!$D$5:$F$192,2,TRUE)</f>
        <v>)|)</v>
      </c>
      <c r="N1032" s="23">
        <f>FLOOR(VLOOKUP($D1032,Sheet1!$G$5:$I$192,3,TRUE),1)</f>
        <v>16</v>
      </c>
      <c r="O1032" s="42" t="str">
        <f>VLOOKUP($D1032,Sheet1!$G$5:$I$192,2,TRUE)</f>
        <v>)|)</v>
      </c>
      <c r="P1032" s="23">
        <v>1</v>
      </c>
      <c r="Q1032" s="43" t="str">
        <f>VLOOKUP($D1032,Sheet1!$J$5:$L$192,2,TRUE)</f>
        <v>)|).</v>
      </c>
      <c r="R1032" s="23">
        <f>FLOOR(VLOOKUP($D1032,Sheet1!$M$5:$O$192,3,TRUE),1)</f>
        <v>62</v>
      </c>
      <c r="S1032" s="42" t="str">
        <f>VLOOKUP($D1032,Sheet1!$M$5:$O$192,2,TRUE)</f>
        <v>)|).</v>
      </c>
      <c r="T1032" s="117">
        <f>IF(ABS(D1032-VLOOKUP($D1032,Sheet1!$M$5:$T$192,8,TRUE))&lt;10^-10,"SoCA",D1032-VLOOKUP($D1032,Sheet1!$M$5:$T$192,8,TRUE))</f>
        <v>0.17815358533578873</v>
      </c>
      <c r="U1032" s="109">
        <f>IF(VLOOKUP($D1032,Sheet1!$M$5:$U$192,9,TRUE)=0,"",IF(ABS(D1032-VLOOKUP($D1032,Sheet1!$M$5:$U$192,9,TRUE))&lt;10^-10,"Alt.",D1032-VLOOKUP($D1032,Sheet1!$M$5:$U$192,9,TRUE)))</f>
        <v>0.15119329013335303</v>
      </c>
      <c r="V1032" s="132">
        <f>$D1032-Sheet1!$M$3*$R1032</f>
        <v>0.14660213001401345</v>
      </c>
      <c r="Z1032" s="6"/>
      <c r="AA1032" s="61"/>
    </row>
    <row r="1033" spans="1:27" ht="13.5">
      <c r="A1033" s="6" t="s">
        <v>1118</v>
      </c>
      <c r="B1033" s="6">
        <f>2^15*3^2</f>
        <v>294912</v>
      </c>
      <c r="C1033" s="6">
        <f>5^3*7^4</f>
        <v>300125</v>
      </c>
      <c r="D1033" s="13">
        <f t="shared" si="21"/>
        <v>30.334765740229169</v>
      </c>
      <c r="E1033" s="61">
        <v>7</v>
      </c>
      <c r="F1033" s="65">
        <v>103.39556213437332</v>
      </c>
      <c r="G1033" s="6">
        <v>1028</v>
      </c>
      <c r="H1033" s="6">
        <v>967</v>
      </c>
      <c r="I1033" s="65">
        <v>-3.8678220421944527</v>
      </c>
      <c r="J1033" s="6">
        <f>VLOOKUP($D1033,Sheet1!$A$5:$C$192,3,TRUE)</f>
        <v>6</v>
      </c>
      <c r="K1033" s="42" t="str">
        <f>VLOOKUP($D1033,Sheet1!$A$5:$C$192,2,TRUE)</f>
        <v>(|</v>
      </c>
      <c r="L1033" s="6">
        <f>FLOOR(VLOOKUP($D1033,Sheet1!$D$5:$F$192,3,TRUE),1)</f>
        <v>12</v>
      </c>
      <c r="M1033" s="42" t="str">
        <f>VLOOKUP($D1033,Sheet1!$D$5:$F$192,2,TRUE)</f>
        <v>)|)</v>
      </c>
      <c r="N1033" s="23">
        <f>FLOOR(VLOOKUP($D1033,Sheet1!$G$5:$I$192,3,TRUE),1)</f>
        <v>16</v>
      </c>
      <c r="O1033" s="42" t="str">
        <f>VLOOKUP($D1033,Sheet1!$G$5:$I$192,2,TRUE)</f>
        <v>)|)</v>
      </c>
      <c r="P1033" s="23">
        <v>1</v>
      </c>
      <c r="Q1033" s="43" t="str">
        <f>VLOOKUP($D1033,Sheet1!$J$5:$L$192,2,TRUE)</f>
        <v>)|).</v>
      </c>
      <c r="R1033" s="23">
        <f>FLOOR(VLOOKUP($D1033,Sheet1!$M$5:$O$192,3,TRUE),1)</f>
        <v>62</v>
      </c>
      <c r="S1033" s="42" t="str">
        <f>VLOOKUP($D1033,Sheet1!$M$5:$O$192,2,TRUE)</f>
        <v>)|).</v>
      </c>
      <c r="T1033" s="117">
        <f>IF(ABS(D1033-VLOOKUP($D1033,Sheet1!$M$5:$T$192,8,TRUE))&lt;10^-10,"SoCA",D1033-VLOOKUP($D1033,Sheet1!$M$5:$T$192,8,TRUE))</f>
        <v>0.11537137761901661</v>
      </c>
      <c r="U1033" s="109">
        <f>IF(VLOOKUP($D1033,Sheet1!$M$5:$U$192,9,TRUE)=0,"",IF(ABS(D1033-VLOOKUP($D1033,Sheet1!$M$5:$U$192,9,TRUE))&lt;10^-10,"Alt.",D1033-VLOOKUP($D1033,Sheet1!$M$5:$U$192,9,TRUE)))</f>
        <v>8.8411082416580911E-2</v>
      </c>
      <c r="V1033" s="132">
        <f>$D1033-Sheet1!$M$3*$R1033</f>
        <v>8.3819922297241334E-2</v>
      </c>
      <c r="Z1033" s="6"/>
      <c r="AA1033" s="61"/>
    </row>
    <row r="1034" spans="1:27" ht="13.5">
      <c r="A1034" t="s">
        <v>1114</v>
      </c>
      <c r="B1034">
        <v>18432</v>
      </c>
      <c r="C1034">
        <v>18755</v>
      </c>
      <c r="D1034" s="13">
        <f t="shared" si="21"/>
        <v>30.075169327823481</v>
      </c>
      <c r="E1034" s="61">
        <v>31</v>
      </c>
      <c r="F1034" s="65">
        <v>104.60852223345843</v>
      </c>
      <c r="G1034" s="6">
        <v>1026</v>
      </c>
      <c r="H1034" s="6">
        <v>963</v>
      </c>
      <c r="I1034" s="65">
        <v>-3.8518377453214123</v>
      </c>
      <c r="J1034" s="6">
        <f>VLOOKUP($D1034,Sheet1!$A$5:$C$192,3,TRUE)</f>
        <v>6</v>
      </c>
      <c r="K1034" s="42" t="str">
        <f>VLOOKUP($D1034,Sheet1!$A$5:$C$192,2,TRUE)</f>
        <v>(|</v>
      </c>
      <c r="L1034" s="6">
        <f>FLOOR(VLOOKUP($D1034,Sheet1!$D$5:$F$192,3,TRUE),1)</f>
        <v>12</v>
      </c>
      <c r="M1034" s="42" t="str">
        <f>VLOOKUP($D1034,Sheet1!$D$5:$F$192,2,TRUE)</f>
        <v>)|)</v>
      </c>
      <c r="N1034" s="23">
        <f>FLOOR(VLOOKUP($D1034,Sheet1!$G$5:$I$192,3,TRUE),1)</f>
        <v>16</v>
      </c>
      <c r="O1034" s="42" t="str">
        <f>VLOOKUP($D1034,Sheet1!$G$5:$I$192,2,TRUE)</f>
        <v>)|)</v>
      </c>
      <c r="P1034" s="23">
        <v>1</v>
      </c>
      <c r="Q1034" s="43" t="str">
        <f>VLOOKUP($D1034,Sheet1!$J$5:$L$192,2,TRUE)</f>
        <v>)|).</v>
      </c>
      <c r="R1034" s="23">
        <f>FLOOR(VLOOKUP($D1034,Sheet1!$M$5:$O$192,3,TRUE),1)</f>
        <v>62</v>
      </c>
      <c r="S1034" s="42" t="str">
        <f>VLOOKUP($D1034,Sheet1!$M$5:$O$192,2,TRUE)</f>
        <v>)|).</v>
      </c>
      <c r="T1034" s="117">
        <f>IF(ABS(D1034-VLOOKUP($D1034,Sheet1!$M$5:$T$192,8,TRUE))&lt;10^-10,"SoCA",D1034-VLOOKUP($D1034,Sheet1!$M$5:$T$192,8,TRUE))</f>
        <v>-0.14422503478667181</v>
      </c>
      <c r="U1034" s="109">
        <f>IF(VLOOKUP($D1034,Sheet1!$M$5:$U$192,9,TRUE)=0,"",IF(ABS(D1034-VLOOKUP($D1034,Sheet1!$M$5:$U$192,9,TRUE))&lt;10^-10,"Alt.",D1034-VLOOKUP($D1034,Sheet1!$M$5:$U$192,9,TRUE)))</f>
        <v>-0.17118532998910752</v>
      </c>
      <c r="V1034" s="132">
        <f>$D1034-Sheet1!$M$3*$R1034</f>
        <v>-0.17577649010844709</v>
      </c>
      <c r="Z1034" s="6"/>
      <c r="AA1034" s="61"/>
    </row>
    <row r="1035" spans="1:27" ht="13.5">
      <c r="A1035" t="s">
        <v>946</v>
      </c>
      <c r="B1035">
        <v>1048576</v>
      </c>
      <c r="C1035">
        <v>1067175</v>
      </c>
      <c r="D1035" s="13">
        <f t="shared" si="21"/>
        <v>30.438413155876848</v>
      </c>
      <c r="E1035" s="61">
        <v>31</v>
      </c>
      <c r="F1035" s="65">
        <v>104.6303042019554</v>
      </c>
      <c r="G1035" s="6">
        <v>856</v>
      </c>
      <c r="H1035" s="6">
        <v>794</v>
      </c>
      <c r="I1035" s="65">
        <v>2.1257960088160264</v>
      </c>
      <c r="J1035" s="6">
        <f>VLOOKUP($D1035,Sheet1!$A$5:$C$192,3,TRUE)</f>
        <v>6</v>
      </c>
      <c r="K1035" s="42" t="str">
        <f>VLOOKUP($D1035,Sheet1!$A$5:$C$192,2,TRUE)</f>
        <v>(|</v>
      </c>
      <c r="L1035" s="6">
        <f>FLOOR(VLOOKUP($D1035,Sheet1!$D$5:$F$192,3,TRUE),1)</f>
        <v>12</v>
      </c>
      <c r="M1035" s="42" t="str">
        <f>VLOOKUP($D1035,Sheet1!$D$5:$F$192,2,TRUE)</f>
        <v>)|)</v>
      </c>
      <c r="N1035" s="23">
        <f>FLOOR(VLOOKUP($D1035,Sheet1!$G$5:$I$192,3,TRUE),1)</f>
        <v>16</v>
      </c>
      <c r="O1035" s="42" t="str">
        <f>VLOOKUP($D1035,Sheet1!$G$5:$I$192,2,TRUE)</f>
        <v>)|)</v>
      </c>
      <c r="P1035" s="23">
        <v>1</v>
      </c>
      <c r="Q1035" s="43" t="str">
        <f>VLOOKUP($D1035,Sheet1!$J$5:$L$192,2,TRUE)</f>
        <v>)|).</v>
      </c>
      <c r="R1035" s="23">
        <f>FLOOR(VLOOKUP($D1035,Sheet1!$M$5:$O$192,3,TRUE),1)</f>
        <v>62</v>
      </c>
      <c r="S1035" s="42" t="str">
        <f>VLOOKUP($D1035,Sheet1!$M$5:$O$192,2,TRUE)</f>
        <v>)|).</v>
      </c>
      <c r="T1035" s="117">
        <f>IF(ABS(D1035-VLOOKUP($D1035,Sheet1!$M$5:$T$192,8,TRUE))&lt;10^-10,"SoCA",D1035-VLOOKUP($D1035,Sheet1!$M$5:$T$192,8,TRUE))</f>
        <v>0.21901879326669516</v>
      </c>
      <c r="U1035" s="109">
        <f>IF(VLOOKUP($D1035,Sheet1!$M$5:$U$192,9,TRUE)=0,"",IF(ABS(D1035-VLOOKUP($D1035,Sheet1!$M$5:$U$192,9,TRUE))&lt;10^-10,"Alt.",D1035-VLOOKUP($D1035,Sheet1!$M$5:$U$192,9,TRUE)))</f>
        <v>0.19205849806425945</v>
      </c>
      <c r="V1035" s="132">
        <f>$D1035-Sheet1!$M$3*$R1035</f>
        <v>0.18746733794491988</v>
      </c>
      <c r="Z1035" s="6"/>
      <c r="AA1035" s="61"/>
    </row>
    <row r="1036" spans="1:27" ht="13.5">
      <c r="A1036" t="s">
        <v>1238</v>
      </c>
      <c r="B1036">
        <v>35721</v>
      </c>
      <c r="C1036">
        <v>36352</v>
      </c>
      <c r="D1036" s="13">
        <f t="shared" si="21"/>
        <v>30.314725275044292</v>
      </c>
      <c r="E1036" s="61" t="s">
        <v>1931</v>
      </c>
      <c r="F1036" s="65">
        <v>105.66841631173187</v>
      </c>
      <c r="G1036" s="6">
        <v>1019</v>
      </c>
      <c r="H1036" s="6">
        <v>1087</v>
      </c>
      <c r="I1036" s="65">
        <v>-7.8665880777416302</v>
      </c>
      <c r="J1036" s="6">
        <f>VLOOKUP($D1036,Sheet1!$A$5:$C$192,3,TRUE)</f>
        <v>6</v>
      </c>
      <c r="K1036" s="42" t="str">
        <f>VLOOKUP($D1036,Sheet1!$A$5:$C$192,2,TRUE)</f>
        <v>(|</v>
      </c>
      <c r="L1036" s="6">
        <f>FLOOR(VLOOKUP($D1036,Sheet1!$D$5:$F$192,3,TRUE),1)</f>
        <v>12</v>
      </c>
      <c r="M1036" s="42" t="str">
        <f>VLOOKUP($D1036,Sheet1!$D$5:$F$192,2,TRUE)</f>
        <v>)|)</v>
      </c>
      <c r="N1036" s="23">
        <f>FLOOR(VLOOKUP($D1036,Sheet1!$G$5:$I$192,3,TRUE),1)</f>
        <v>16</v>
      </c>
      <c r="O1036" s="42" t="str">
        <f>VLOOKUP($D1036,Sheet1!$G$5:$I$192,2,TRUE)</f>
        <v>)|)</v>
      </c>
      <c r="P1036" s="23">
        <v>1</v>
      </c>
      <c r="Q1036" s="43" t="str">
        <f>VLOOKUP($D1036,Sheet1!$J$5:$L$192,2,TRUE)</f>
        <v>)|).</v>
      </c>
      <c r="R1036" s="23">
        <f>FLOOR(VLOOKUP($D1036,Sheet1!$M$5:$O$192,3,TRUE),1)</f>
        <v>62</v>
      </c>
      <c r="S1036" s="42" t="str">
        <f>VLOOKUP($D1036,Sheet1!$M$5:$O$192,2,TRUE)</f>
        <v>)|).</v>
      </c>
      <c r="T1036" s="117">
        <f>IF(ABS(D1036-VLOOKUP($D1036,Sheet1!$M$5:$T$192,8,TRUE))&lt;10^-10,"SoCA",D1036-VLOOKUP($D1036,Sheet1!$M$5:$T$192,8,TRUE))</f>
        <v>9.5330912434139492E-2</v>
      </c>
      <c r="U1036" s="109">
        <f>IF(VLOOKUP($D1036,Sheet1!$M$5:$U$192,9,TRUE)=0,"",IF(ABS(D1036-VLOOKUP($D1036,Sheet1!$M$5:$U$192,9,TRUE))&lt;10^-10,"Alt.",D1036-VLOOKUP($D1036,Sheet1!$M$5:$U$192,9,TRUE)))</f>
        <v>6.837061723170379E-2</v>
      </c>
      <c r="V1036" s="132">
        <f>$D1036-Sheet1!$M$3*$R1036</f>
        <v>6.3779457112364213E-2</v>
      </c>
      <c r="Z1036" s="6"/>
      <c r="AA1036" s="61"/>
    </row>
    <row r="1037" spans="1:27" ht="13.5">
      <c r="A1037" s="33" t="s">
        <v>124</v>
      </c>
      <c r="B1037" s="33">
        <f>2^3*7</f>
        <v>56</v>
      </c>
      <c r="C1037" s="35">
        <f>3*19</f>
        <v>57</v>
      </c>
      <c r="D1037" s="13">
        <f t="shared" si="21"/>
        <v>30.642110528564977</v>
      </c>
      <c r="E1037" s="61">
        <v>19</v>
      </c>
      <c r="F1037" s="65">
        <v>26.03542621572975</v>
      </c>
      <c r="G1037" s="6">
        <v>52</v>
      </c>
      <c r="H1037" s="6">
        <v>47</v>
      </c>
      <c r="I1037" s="65">
        <v>-0.88674638053031418</v>
      </c>
      <c r="J1037" s="6">
        <f>VLOOKUP($D1037,Sheet1!$A$5:$C$192,3,TRUE)</f>
        <v>6</v>
      </c>
      <c r="K1037" s="42" t="str">
        <f>VLOOKUP($D1037,Sheet1!$A$5:$C$192,2,TRUE)</f>
        <v>(|</v>
      </c>
      <c r="L1037" s="34">
        <f>FLOOR(VLOOKUP($D1037,Sheet1!$D$5:$F$192,3,TRUE),1)</f>
        <v>12</v>
      </c>
      <c r="M1037" s="41" t="str">
        <f>VLOOKUP($D1037,Sheet1!$D$5:$F$192,2,TRUE)</f>
        <v>)|)</v>
      </c>
      <c r="N1037" s="34">
        <f>FLOOR(VLOOKUP($D1037,Sheet1!$G$5:$I$192,3,TRUE),1)</f>
        <v>16</v>
      </c>
      <c r="O1037" s="41" t="str">
        <f>VLOOKUP($D1037,Sheet1!$G$5:$I$192,2,TRUE)</f>
        <v>)|)</v>
      </c>
      <c r="P1037" s="34">
        <v>1</v>
      </c>
      <c r="Q1037" s="41" t="str">
        <f>VLOOKUP($D1037,Sheet1!$J$5:$L$192,2,TRUE)</f>
        <v>)|)</v>
      </c>
      <c r="R1037" s="34">
        <f>FLOOR(VLOOKUP($D1037,Sheet1!$M$5:$O$192,3,TRUE),1)</f>
        <v>63</v>
      </c>
      <c r="S1037" s="41" t="str">
        <f>VLOOKUP($D1037,Sheet1!$M$5:$O$192,2,TRUE)</f>
        <v>)|)</v>
      </c>
      <c r="T1037" s="114" t="str">
        <f>IF(ABS(D1037-VLOOKUP($D1037,Sheet1!$M$5:$T$192,8,TRUE))&lt;10^-10,"SoCA",D1037-VLOOKUP($D1037,Sheet1!$M$5:$T$192,8,TRUE))</f>
        <v>SoCA</v>
      </c>
      <c r="U1037" s="126" t="str">
        <f>IF(VLOOKUP($D1037,Sheet1!$M$5:$U$192,9,TRUE)=0,"",IF(ABS(D1037-VLOOKUP($D1037,Sheet1!$M$5:$U$192,9,TRUE))&lt;10^-10,"Alt.",D1037-VLOOKUP($D1037,Sheet1!$M$5:$U$192,9,TRUE)))</f>
        <v/>
      </c>
      <c r="V1037" s="137">
        <f>$D1037-Sheet1!$M$3*$R1037</f>
        <v>-9.6753770301337028E-2</v>
      </c>
      <c r="Z1037" s="6"/>
      <c r="AA1037" s="61"/>
    </row>
    <row r="1038" spans="1:27" ht="13.5">
      <c r="A1038" s="23" t="s">
        <v>703</v>
      </c>
      <c r="B1038" s="23">
        <f>2^12*5^2</f>
        <v>102400</v>
      </c>
      <c r="C1038" s="23">
        <f>3^6*11*13</f>
        <v>104247</v>
      </c>
      <c r="D1038" s="13">
        <f t="shared" si="21"/>
        <v>30.948181596722218</v>
      </c>
      <c r="E1038" s="61">
        <v>13</v>
      </c>
      <c r="F1038" s="65">
        <v>34.802563428330508</v>
      </c>
      <c r="G1038" s="6">
        <v>589</v>
      </c>
      <c r="H1038" s="6">
        <v>548</v>
      </c>
      <c r="I1038" s="65">
        <v>4.0944077087256332</v>
      </c>
      <c r="J1038" s="6">
        <f>VLOOKUP($D1038,Sheet1!$A$5:$C$192,3,TRUE)</f>
        <v>6</v>
      </c>
      <c r="K1038" s="42" t="str">
        <f>VLOOKUP($D1038,Sheet1!$A$5:$C$192,2,TRUE)</f>
        <v>(|</v>
      </c>
      <c r="L1038" s="6">
        <f>FLOOR(VLOOKUP($D1038,Sheet1!$D$5:$F$192,3,TRUE),1)</f>
        <v>12</v>
      </c>
      <c r="M1038" s="42" t="str">
        <f>VLOOKUP($D1038,Sheet1!$D$5:$F$192,2,TRUE)</f>
        <v>)|)</v>
      </c>
      <c r="N1038" s="23">
        <f>FLOOR(VLOOKUP($D1038,Sheet1!$G$5:$I$192,3,TRUE),1)</f>
        <v>16</v>
      </c>
      <c r="O1038" s="42" t="str">
        <f>VLOOKUP($D1038,Sheet1!$G$5:$I$192,2,TRUE)</f>
        <v>)|)</v>
      </c>
      <c r="P1038" s="23">
        <v>1</v>
      </c>
      <c r="Q1038" s="43" t="str">
        <f>VLOOKUP($D1038,Sheet1!$J$5:$L$192,2,TRUE)</f>
        <v>)|)</v>
      </c>
      <c r="R1038" s="23">
        <f>FLOOR(VLOOKUP($D1038,Sheet1!$M$5:$O$192,3,TRUE),1)</f>
        <v>63</v>
      </c>
      <c r="S1038" s="43" t="str">
        <f>VLOOKUP($D1038,Sheet1!$M$5:$O$192,2,TRUE)</f>
        <v>)|)</v>
      </c>
      <c r="T1038" s="117">
        <f>IF(ABS(D1038-VLOOKUP($D1038,Sheet1!$M$5:$T$192,8,TRUE))&lt;10^-10,"SoCA",D1038-VLOOKUP($D1038,Sheet1!$M$5:$T$192,8,TRUE))</f>
        <v>0.30607106815724094</v>
      </c>
      <c r="U1038" s="117" t="str">
        <f>IF(VLOOKUP($D1038,Sheet1!$M$5:$U$192,9,TRUE)=0,"",IF(ABS(D1038-VLOOKUP($D1038,Sheet1!$M$5:$U$192,9,TRUE))&lt;10^-10,"Alt.",D1038-VLOOKUP($D1038,Sheet1!$M$5:$U$192,9,TRUE)))</f>
        <v/>
      </c>
      <c r="V1038" s="132">
        <f>$D1038-Sheet1!$M$3*$R1038</f>
        <v>0.20931729785590392</v>
      </c>
      <c r="Z1038" s="6"/>
      <c r="AA1038" s="61"/>
    </row>
    <row r="1039" spans="1:27" ht="13.5">
      <c r="A1039" t="s">
        <v>780</v>
      </c>
      <c r="B1039">
        <v>50301</v>
      </c>
      <c r="C1039">
        <v>51200</v>
      </c>
      <c r="D1039" s="13">
        <f t="shared" si="21"/>
        <v>30.668074403542327</v>
      </c>
      <c r="E1039" s="61">
        <v>23</v>
      </c>
      <c r="F1039" s="65">
        <v>45.510568800649757</v>
      </c>
      <c r="G1039" s="6">
        <v>542</v>
      </c>
      <c r="H1039" s="6">
        <v>626</v>
      </c>
      <c r="I1039" s="65">
        <v>-8.8883450709042169</v>
      </c>
      <c r="J1039" s="6">
        <f>VLOOKUP($D1039,Sheet1!$A$5:$C$192,3,TRUE)</f>
        <v>6</v>
      </c>
      <c r="K1039" s="42" t="str">
        <f>VLOOKUP($D1039,Sheet1!$A$5:$C$192,2,TRUE)</f>
        <v>(|</v>
      </c>
      <c r="L1039" s="6">
        <f>FLOOR(VLOOKUP($D1039,Sheet1!$D$5:$F$192,3,TRUE),1)</f>
        <v>12</v>
      </c>
      <c r="M1039" s="42" t="str">
        <f>VLOOKUP($D1039,Sheet1!$D$5:$F$192,2,TRUE)</f>
        <v>)|)</v>
      </c>
      <c r="N1039" s="23">
        <f>FLOOR(VLOOKUP($D1039,Sheet1!$G$5:$I$192,3,TRUE),1)</f>
        <v>16</v>
      </c>
      <c r="O1039" s="42" t="str">
        <f>VLOOKUP($D1039,Sheet1!$G$5:$I$192,2,TRUE)</f>
        <v>)|)</v>
      </c>
      <c r="P1039" s="23">
        <v>1</v>
      </c>
      <c r="Q1039" s="43" t="str">
        <f>VLOOKUP($D1039,Sheet1!$J$5:$L$192,2,TRUE)</f>
        <v>)|)</v>
      </c>
      <c r="R1039" s="23">
        <f>FLOOR(VLOOKUP($D1039,Sheet1!$M$5:$O$192,3,TRUE),1)</f>
        <v>63</v>
      </c>
      <c r="S1039" s="42" t="str">
        <f>VLOOKUP($D1039,Sheet1!$M$5:$O$192,2,TRUE)</f>
        <v>)|)</v>
      </c>
      <c r="T1039" s="117">
        <f>IF(ABS(D1039-VLOOKUP($D1039,Sheet1!$M$5:$T$192,8,TRUE))&lt;10^-10,"SoCA",D1039-VLOOKUP($D1039,Sheet1!$M$5:$T$192,8,TRUE))</f>
        <v>2.5963874977350088E-2</v>
      </c>
      <c r="U1039" s="109" t="str">
        <f>IF(VLOOKUP($D1039,Sheet1!$M$5:$U$192,9,TRUE)=0,"",IF(ABS(D1039-VLOOKUP($D1039,Sheet1!$M$5:$U$192,9,TRUE))&lt;10^-10,"Alt.",D1039-VLOOKUP($D1039,Sheet1!$M$5:$U$192,9,TRUE)))</f>
        <v/>
      </c>
      <c r="V1039" s="132">
        <f>$D1039-Sheet1!$M$3*$R1039</f>
        <v>-7.078989532398694E-2</v>
      </c>
      <c r="Z1039" s="6"/>
      <c r="AA1039" s="61"/>
    </row>
    <row r="1040" spans="1:27" ht="13.5">
      <c r="A1040" t="s">
        <v>630</v>
      </c>
      <c r="B1040">
        <v>2944</v>
      </c>
      <c r="C1040">
        <v>2997</v>
      </c>
      <c r="D1040" s="13">
        <f t="shared" si="21"/>
        <v>30.889694947874109</v>
      </c>
      <c r="E1040" s="61">
        <v>37</v>
      </c>
      <c r="F1040" s="65">
        <v>60.231199502558539</v>
      </c>
      <c r="G1040" s="6">
        <v>521</v>
      </c>
      <c r="H1040" s="6">
        <v>475</v>
      </c>
      <c r="I1040" s="65">
        <v>2.0980089447736745</v>
      </c>
      <c r="J1040" s="6">
        <f>VLOOKUP($D1040,Sheet1!$A$5:$C$192,3,TRUE)</f>
        <v>6</v>
      </c>
      <c r="K1040" s="42" t="str">
        <f>VLOOKUP($D1040,Sheet1!$A$5:$C$192,2,TRUE)</f>
        <v>(|</v>
      </c>
      <c r="L1040" s="6">
        <f>FLOOR(VLOOKUP($D1040,Sheet1!$D$5:$F$192,3,TRUE),1)</f>
        <v>12</v>
      </c>
      <c r="M1040" s="42" t="str">
        <f>VLOOKUP($D1040,Sheet1!$D$5:$F$192,2,TRUE)</f>
        <v>)|)</v>
      </c>
      <c r="N1040" s="23">
        <f>FLOOR(VLOOKUP($D1040,Sheet1!$G$5:$I$192,3,TRUE),1)</f>
        <v>16</v>
      </c>
      <c r="O1040" s="42" t="str">
        <f>VLOOKUP($D1040,Sheet1!$G$5:$I$192,2,TRUE)</f>
        <v>)|)</v>
      </c>
      <c r="P1040" s="23">
        <v>1</v>
      </c>
      <c r="Q1040" s="43" t="str">
        <f>VLOOKUP($D1040,Sheet1!$J$5:$L$192,2,TRUE)</f>
        <v>)|)</v>
      </c>
      <c r="R1040" s="23">
        <f>FLOOR(VLOOKUP($D1040,Sheet1!$M$5:$O$192,3,TRUE),1)</f>
        <v>63</v>
      </c>
      <c r="S1040" s="42" t="str">
        <f>VLOOKUP($D1040,Sheet1!$M$5:$O$192,2,TRUE)</f>
        <v>)|)</v>
      </c>
      <c r="T1040" s="117">
        <f>IF(ABS(D1040-VLOOKUP($D1040,Sheet1!$M$5:$T$192,8,TRUE))&lt;10^-10,"SoCA",D1040-VLOOKUP($D1040,Sheet1!$M$5:$T$192,8,TRUE))</f>
        <v>0.24758441930913122</v>
      </c>
      <c r="U1040" s="109" t="str">
        <f>IF(VLOOKUP($D1040,Sheet1!$M$5:$U$192,9,TRUE)=0,"",IF(ABS(D1040-VLOOKUP($D1040,Sheet1!$M$5:$U$192,9,TRUE))&lt;10^-10,"Alt.",D1040-VLOOKUP($D1040,Sheet1!$M$5:$U$192,9,TRUE)))</f>
        <v/>
      </c>
      <c r="V1040" s="132">
        <f>$D1040-Sheet1!$M$3*$R1040</f>
        <v>0.15083064900779419</v>
      </c>
      <c r="Z1040" s="6"/>
      <c r="AA1040" s="61"/>
    </row>
    <row r="1041" spans="1:27" ht="13.5">
      <c r="A1041" t="s">
        <v>1313</v>
      </c>
      <c r="B1041">
        <v>257499</v>
      </c>
      <c r="C1041">
        <v>262144</v>
      </c>
      <c r="D1041" s="13">
        <f t="shared" si="21"/>
        <v>30.951235172879077</v>
      </c>
      <c r="E1041" s="61">
        <v>17</v>
      </c>
      <c r="F1041" s="65">
        <v>72.807741068906964</v>
      </c>
      <c r="G1041" s="6">
        <v>1221</v>
      </c>
      <c r="H1041" s="6">
        <v>1162</v>
      </c>
      <c r="I1041" s="65">
        <v>-5.9057803110831282</v>
      </c>
      <c r="J1041" s="6">
        <f>VLOOKUP($D1041,Sheet1!$A$5:$C$192,3,TRUE)</f>
        <v>6</v>
      </c>
      <c r="K1041" s="42" t="str">
        <f>VLOOKUP($D1041,Sheet1!$A$5:$C$192,2,TRUE)</f>
        <v>(|</v>
      </c>
      <c r="L1041" s="6">
        <f>FLOOR(VLOOKUP($D1041,Sheet1!$D$5:$F$192,3,TRUE),1)</f>
        <v>12</v>
      </c>
      <c r="M1041" s="42" t="str">
        <f>VLOOKUP($D1041,Sheet1!$D$5:$F$192,2,TRUE)</f>
        <v>)|)</v>
      </c>
      <c r="N1041" s="23">
        <f>FLOOR(VLOOKUP($D1041,Sheet1!$G$5:$I$192,3,TRUE),1)</f>
        <v>16</v>
      </c>
      <c r="O1041" s="42" t="str">
        <f>VLOOKUP($D1041,Sheet1!$G$5:$I$192,2,TRUE)</f>
        <v>)|)</v>
      </c>
      <c r="P1041" s="23">
        <v>1</v>
      </c>
      <c r="Q1041" s="43" t="str">
        <f>VLOOKUP($D1041,Sheet1!$J$5:$L$192,2,TRUE)</f>
        <v>)|)</v>
      </c>
      <c r="R1041" s="23">
        <f>FLOOR(VLOOKUP($D1041,Sheet1!$M$5:$O$192,3,TRUE),1)</f>
        <v>63</v>
      </c>
      <c r="S1041" s="42" t="str">
        <f>VLOOKUP($D1041,Sheet1!$M$5:$O$192,2,TRUE)</f>
        <v>)|)</v>
      </c>
      <c r="T1041" s="117">
        <f>IF(ABS(D1041-VLOOKUP($D1041,Sheet1!$M$5:$T$192,8,TRUE))&lt;10^-10,"SoCA",D1041-VLOOKUP($D1041,Sheet1!$M$5:$T$192,8,TRUE))</f>
        <v>0.30912464431409958</v>
      </c>
      <c r="U1041" s="109" t="str">
        <f>IF(VLOOKUP($D1041,Sheet1!$M$5:$U$192,9,TRUE)=0,"",IF(ABS(D1041-VLOOKUP($D1041,Sheet1!$M$5:$U$192,9,TRUE))&lt;10^-10,"Alt.",D1041-VLOOKUP($D1041,Sheet1!$M$5:$U$192,9,TRUE)))</f>
        <v/>
      </c>
      <c r="V1041" s="132">
        <f>$D1041-Sheet1!$M$3*$R1041</f>
        <v>0.21237087401276256</v>
      </c>
      <c r="Z1041" s="6"/>
      <c r="AA1041" s="61"/>
    </row>
    <row r="1042" spans="1:27" ht="13.5">
      <c r="A1042" s="6" t="s">
        <v>379</v>
      </c>
      <c r="B1042" s="6">
        <f>2^17</f>
        <v>131072</v>
      </c>
      <c r="C1042" s="6">
        <f>3^7*61</f>
        <v>133407</v>
      </c>
      <c r="D1042" s="13">
        <f t="shared" si="21"/>
        <v>30.569811133175456</v>
      </c>
      <c r="E1042" s="61" t="s">
        <v>1931</v>
      </c>
      <c r="F1042" s="65">
        <v>75.062154414096526</v>
      </c>
      <c r="G1042" s="6">
        <v>219</v>
      </c>
      <c r="H1042" s="6">
        <v>214</v>
      </c>
      <c r="I1042" s="65">
        <v>5.1177053566448567</v>
      </c>
      <c r="J1042" s="6">
        <f>VLOOKUP($D1042,Sheet1!$A$5:$C$192,3,TRUE)</f>
        <v>6</v>
      </c>
      <c r="K1042" s="42" t="str">
        <f>VLOOKUP($D1042,Sheet1!$A$5:$C$192,2,TRUE)</f>
        <v>(|</v>
      </c>
      <c r="L1042" s="6">
        <f>FLOOR(VLOOKUP($D1042,Sheet1!$D$5:$F$192,3,TRUE),1)</f>
        <v>12</v>
      </c>
      <c r="M1042" s="42" t="str">
        <f>VLOOKUP($D1042,Sheet1!$D$5:$F$192,2,TRUE)</f>
        <v>)|)</v>
      </c>
      <c r="N1042" s="23">
        <f>FLOOR(VLOOKUP($D1042,Sheet1!$G$5:$I$192,3,TRUE),1)</f>
        <v>16</v>
      </c>
      <c r="O1042" s="42" t="str">
        <f>VLOOKUP($D1042,Sheet1!$G$5:$I$192,2,TRUE)</f>
        <v>)|)</v>
      </c>
      <c r="P1042" s="23">
        <v>1</v>
      </c>
      <c r="Q1042" s="43" t="str">
        <f>VLOOKUP($D1042,Sheet1!$J$5:$L$192,2,TRUE)</f>
        <v>)|)</v>
      </c>
      <c r="R1042" s="23">
        <f>FLOOR(VLOOKUP($D1042,Sheet1!$M$5:$O$192,3,TRUE),1)</f>
        <v>63</v>
      </c>
      <c r="S1042" s="42" t="str">
        <f>VLOOKUP($D1042,Sheet1!$M$5:$O$192,2,TRUE)</f>
        <v>)|)</v>
      </c>
      <c r="T1042" s="117">
        <f>IF(ABS(D1042-VLOOKUP($D1042,Sheet1!$M$5:$T$192,8,TRUE))&lt;10^-10,"SoCA",D1042-VLOOKUP($D1042,Sheet1!$M$5:$T$192,8,TRUE))</f>
        <v>-7.2299395389521237E-2</v>
      </c>
      <c r="U1042" s="109" t="str">
        <f>IF(VLOOKUP($D1042,Sheet1!$M$5:$U$192,9,TRUE)=0,"",IF(ABS(D1042-VLOOKUP($D1042,Sheet1!$M$5:$U$192,9,TRUE))&lt;10^-10,"Alt.",D1042-VLOOKUP($D1042,Sheet1!$M$5:$U$192,9,TRUE)))</f>
        <v/>
      </c>
      <c r="V1042" s="132">
        <f>$D1042-Sheet1!$M$3*$R1042</f>
        <v>-0.16905316569085826</v>
      </c>
      <c r="Z1042" s="6"/>
      <c r="AA1042" s="61"/>
    </row>
    <row r="1043" spans="1:27" ht="13.5">
      <c r="A1043" t="s">
        <v>846</v>
      </c>
      <c r="B1043">
        <v>1053</v>
      </c>
      <c r="C1043">
        <v>1072</v>
      </c>
      <c r="D1043" s="13">
        <f t="shared" si="21"/>
        <v>30.95936331846659</v>
      </c>
      <c r="E1043" s="61" t="s">
        <v>1931</v>
      </c>
      <c r="F1043" s="65">
        <v>80.924760124228214</v>
      </c>
      <c r="G1043" s="6">
        <v>647</v>
      </c>
      <c r="H1043" s="6">
        <v>693</v>
      </c>
      <c r="I1043" s="65">
        <v>-5.9062807906193981</v>
      </c>
      <c r="J1043" s="6">
        <f>VLOOKUP($D1043,Sheet1!$A$5:$C$192,3,TRUE)</f>
        <v>6</v>
      </c>
      <c r="K1043" s="42" t="str">
        <f>VLOOKUP($D1043,Sheet1!$A$5:$C$192,2,TRUE)</f>
        <v>(|</v>
      </c>
      <c r="L1043" s="6">
        <f>FLOOR(VLOOKUP($D1043,Sheet1!$D$5:$F$192,3,TRUE),1)</f>
        <v>12</v>
      </c>
      <c r="M1043" s="42" t="str">
        <f>VLOOKUP($D1043,Sheet1!$D$5:$F$192,2,TRUE)</f>
        <v>)|)</v>
      </c>
      <c r="N1043" s="23">
        <f>FLOOR(VLOOKUP($D1043,Sheet1!$G$5:$I$192,3,TRUE),1)</f>
        <v>16</v>
      </c>
      <c r="O1043" s="42" t="str">
        <f>VLOOKUP($D1043,Sheet1!$G$5:$I$192,2,TRUE)</f>
        <v>)|)</v>
      </c>
      <c r="P1043" s="23">
        <v>1</v>
      </c>
      <c r="Q1043" s="43" t="str">
        <f>VLOOKUP($D1043,Sheet1!$J$5:$L$192,2,TRUE)</f>
        <v>)|)</v>
      </c>
      <c r="R1043" s="23">
        <f>FLOOR(VLOOKUP($D1043,Sheet1!$M$5:$O$192,3,TRUE),1)</f>
        <v>63</v>
      </c>
      <c r="S1043" s="42" t="str">
        <f>VLOOKUP($D1043,Sheet1!$M$5:$O$192,2,TRUE)</f>
        <v>)|)</v>
      </c>
      <c r="T1043" s="117">
        <f>IF(ABS(D1043-VLOOKUP($D1043,Sheet1!$M$5:$T$192,8,TRUE))&lt;10^-10,"SoCA",D1043-VLOOKUP($D1043,Sheet1!$M$5:$T$192,8,TRUE))</f>
        <v>0.31725278990161243</v>
      </c>
      <c r="U1043" s="109" t="str">
        <f>IF(VLOOKUP($D1043,Sheet1!$M$5:$U$192,9,TRUE)=0,"",IF(ABS(D1043-VLOOKUP($D1043,Sheet1!$M$5:$U$192,9,TRUE))&lt;10^-10,"Alt.",D1043-VLOOKUP($D1043,Sheet1!$M$5:$U$192,9,TRUE)))</f>
        <v/>
      </c>
      <c r="V1043" s="132">
        <f>$D1043-Sheet1!$M$3*$R1043</f>
        <v>0.2204990196002754</v>
      </c>
      <c r="Z1043" s="6"/>
      <c r="AA1043" s="61"/>
    </row>
    <row r="1044" spans="1:27" ht="13.5">
      <c r="A1044" t="s">
        <v>1638</v>
      </c>
      <c r="B1044">
        <v>5046272</v>
      </c>
      <c r="C1044">
        <v>5137263</v>
      </c>
      <c r="D1044" s="13">
        <f t="shared" si="21"/>
        <v>30.938354838466548</v>
      </c>
      <c r="E1044" s="61">
        <v>29</v>
      </c>
      <c r="F1044" s="65">
        <v>84.294000126193765</v>
      </c>
      <c r="G1044" s="6">
        <v>1546</v>
      </c>
      <c r="H1044" s="6">
        <v>1487</v>
      </c>
      <c r="I1044" s="65">
        <v>9.0950127780322649</v>
      </c>
      <c r="J1044" s="6">
        <f>VLOOKUP($D1044,Sheet1!$A$5:$C$192,3,TRUE)</f>
        <v>6</v>
      </c>
      <c r="K1044" s="42" t="str">
        <f>VLOOKUP($D1044,Sheet1!$A$5:$C$192,2,TRUE)</f>
        <v>(|</v>
      </c>
      <c r="L1044" s="6">
        <f>FLOOR(VLOOKUP($D1044,Sheet1!$D$5:$F$192,3,TRUE),1)</f>
        <v>12</v>
      </c>
      <c r="M1044" s="42" t="str">
        <f>VLOOKUP($D1044,Sheet1!$D$5:$F$192,2,TRUE)</f>
        <v>)|)</v>
      </c>
      <c r="N1044" s="23">
        <f>FLOOR(VLOOKUP($D1044,Sheet1!$G$5:$I$192,3,TRUE),1)</f>
        <v>16</v>
      </c>
      <c r="O1044" s="42" t="str">
        <f>VLOOKUP($D1044,Sheet1!$G$5:$I$192,2,TRUE)</f>
        <v>)|)</v>
      </c>
      <c r="P1044" s="23">
        <v>1</v>
      </c>
      <c r="Q1044" s="43" t="str">
        <f>VLOOKUP($D1044,Sheet1!$J$5:$L$192,2,TRUE)</f>
        <v>)|)</v>
      </c>
      <c r="R1044" s="23">
        <f>FLOOR(VLOOKUP($D1044,Sheet1!$M$5:$O$192,3,TRUE),1)</f>
        <v>63</v>
      </c>
      <c r="S1044" s="42" t="str">
        <f>VLOOKUP($D1044,Sheet1!$M$5:$O$192,2,TRUE)</f>
        <v>)|)</v>
      </c>
      <c r="T1044" s="117">
        <f>IF(ABS(D1044-VLOOKUP($D1044,Sheet1!$M$5:$T$192,8,TRUE))&lt;10^-10,"SoCA",D1044-VLOOKUP($D1044,Sheet1!$M$5:$T$192,8,TRUE))</f>
        <v>0.2962443099015708</v>
      </c>
      <c r="U1044" s="109" t="str">
        <f>IF(VLOOKUP($D1044,Sheet1!$M$5:$U$192,9,TRUE)=0,"",IF(ABS(D1044-VLOOKUP($D1044,Sheet1!$M$5:$U$192,9,TRUE))&lt;10^-10,"Alt.",D1044-VLOOKUP($D1044,Sheet1!$M$5:$U$192,9,TRUE)))</f>
        <v/>
      </c>
      <c r="V1044" s="132">
        <f>$D1044-Sheet1!$M$3*$R1044</f>
        <v>0.19949053960023377</v>
      </c>
      <c r="Z1044" s="6"/>
      <c r="AA1044" s="61"/>
    </row>
    <row r="1045" spans="1:27" ht="13.5">
      <c r="A1045" t="s">
        <v>1211</v>
      </c>
      <c r="B1045">
        <v>2295</v>
      </c>
      <c r="C1045">
        <v>2336</v>
      </c>
      <c r="D1045" s="13">
        <f t="shared" si="21"/>
        <v>30.65534469461646</v>
      </c>
      <c r="E1045" s="61" t="s">
        <v>1931</v>
      </c>
      <c r="F1045" s="65">
        <v>114.47512192415894</v>
      </c>
      <c r="G1045" s="6">
        <v>1117</v>
      </c>
      <c r="H1045" s="6">
        <v>1060</v>
      </c>
      <c r="I1045" s="65">
        <v>-4.8875612563487962</v>
      </c>
      <c r="J1045" s="6">
        <f>VLOOKUP($D1045,Sheet1!$A$5:$C$192,3,TRUE)</f>
        <v>6</v>
      </c>
      <c r="K1045" s="42" t="str">
        <f>VLOOKUP($D1045,Sheet1!$A$5:$C$192,2,TRUE)</f>
        <v>(|</v>
      </c>
      <c r="L1045" s="6">
        <f>FLOOR(VLOOKUP($D1045,Sheet1!$D$5:$F$192,3,TRUE),1)</f>
        <v>12</v>
      </c>
      <c r="M1045" s="42" t="str">
        <f>VLOOKUP($D1045,Sheet1!$D$5:$F$192,2,TRUE)</f>
        <v>)|)</v>
      </c>
      <c r="N1045" s="23">
        <f>FLOOR(VLOOKUP($D1045,Sheet1!$G$5:$I$192,3,TRUE),1)</f>
        <v>16</v>
      </c>
      <c r="O1045" s="42" t="str">
        <f>VLOOKUP($D1045,Sheet1!$G$5:$I$192,2,TRUE)</f>
        <v>)|)</v>
      </c>
      <c r="P1045" s="23">
        <v>1</v>
      </c>
      <c r="Q1045" s="43" t="str">
        <f>VLOOKUP($D1045,Sheet1!$J$5:$L$192,2,TRUE)</f>
        <v>)|)</v>
      </c>
      <c r="R1045" s="23">
        <f>FLOOR(VLOOKUP($D1045,Sheet1!$M$5:$O$192,3,TRUE),1)</f>
        <v>63</v>
      </c>
      <c r="S1045" s="42" t="str">
        <f>VLOOKUP($D1045,Sheet1!$M$5:$O$192,2,TRUE)</f>
        <v>)|)</v>
      </c>
      <c r="T1045" s="117">
        <f>IF(ABS(D1045-VLOOKUP($D1045,Sheet1!$M$5:$T$192,8,TRUE))&lt;10^-10,"SoCA",D1045-VLOOKUP($D1045,Sheet1!$M$5:$T$192,8,TRUE))</f>
        <v>1.3234166051482532E-2</v>
      </c>
      <c r="U1045" s="109" t="str">
        <f>IF(VLOOKUP($D1045,Sheet1!$M$5:$U$192,9,TRUE)=0,"",IF(ABS(D1045-VLOOKUP($D1045,Sheet1!$M$5:$U$192,9,TRUE))&lt;10^-10,"Alt.",D1045-VLOOKUP($D1045,Sheet1!$M$5:$U$192,9,TRUE)))</f>
        <v/>
      </c>
      <c r="V1045" s="132">
        <f>$D1045-Sheet1!$M$3*$R1045</f>
        <v>-8.3519604249854495E-2</v>
      </c>
      <c r="Z1045" s="6"/>
      <c r="AA1045" s="61"/>
    </row>
    <row r="1046" spans="1:27" ht="13.5">
      <c r="A1046" s="6" t="s">
        <v>1909</v>
      </c>
      <c r="B1046">
        <v>12813633</v>
      </c>
      <c r="C1046">
        <v>13041664</v>
      </c>
      <c r="D1046" s="13">
        <f t="shared" si="21"/>
        <v>30.538057065129266</v>
      </c>
      <c r="E1046" s="61" t="s">
        <v>1931</v>
      </c>
      <c r="F1046" s="65">
        <v>356.91720351182056</v>
      </c>
      <c r="G1046" s="59">
        <v>1749</v>
      </c>
      <c r="H1046" s="63">
        <v>1000114</v>
      </c>
      <c r="I1046" s="65">
        <v>-11.880339429699172</v>
      </c>
      <c r="J1046" s="6">
        <f>VLOOKUP($D1046,Sheet1!$A$5:$C$192,3,TRUE)</f>
        <v>6</v>
      </c>
      <c r="K1046" s="42" t="str">
        <f>VLOOKUP($D1046,Sheet1!$A$5:$C$192,2,TRUE)</f>
        <v>(|</v>
      </c>
      <c r="L1046" s="6">
        <f>FLOOR(VLOOKUP($D1046,Sheet1!$D$5:$F$192,3,TRUE),1)</f>
        <v>12</v>
      </c>
      <c r="M1046" s="42" t="str">
        <f>VLOOKUP($D1046,Sheet1!$D$5:$F$192,2,TRUE)</f>
        <v>)|)</v>
      </c>
      <c r="N1046" s="23">
        <f>FLOOR(VLOOKUP($D1046,Sheet1!$G$5:$I$192,3,TRUE),1)</f>
        <v>16</v>
      </c>
      <c r="O1046" s="42" t="str">
        <f>VLOOKUP($D1046,Sheet1!$G$5:$I$192,2,TRUE)</f>
        <v>)|)</v>
      </c>
      <c r="P1046" s="23">
        <v>1</v>
      </c>
      <c r="Q1046" s="43" t="str">
        <f>VLOOKUP($D1046,Sheet1!$J$5:$L$192,2,TRUE)</f>
        <v>)|)</v>
      </c>
      <c r="R1046" s="23">
        <f>FLOOR(VLOOKUP($D1046,Sheet1!$M$5:$O$192,3,TRUE),1)</f>
        <v>63</v>
      </c>
      <c r="S1046" s="42" t="str">
        <f>VLOOKUP($D1046,Sheet1!$M$5:$O$192,2,TRUE)</f>
        <v>)|)</v>
      </c>
      <c r="T1046" s="117">
        <f>IF(ABS(D1046-VLOOKUP($D1046,Sheet1!$M$5:$T$192,8,TRUE))&lt;10^-10,"SoCA",D1046-VLOOKUP($D1046,Sheet1!$M$5:$T$192,8,TRUE))</f>
        <v>-0.10405346343571154</v>
      </c>
      <c r="U1046" s="109" t="str">
        <f>IF(VLOOKUP($D1046,Sheet1!$M$5:$U$192,9,TRUE)=0,"",IF(ABS(D1046-VLOOKUP($D1046,Sheet1!$M$5:$U$192,9,TRUE))&lt;10^-10,"Alt.",D1046-VLOOKUP($D1046,Sheet1!$M$5:$U$192,9,TRUE)))</f>
        <v/>
      </c>
      <c r="V1046" s="132">
        <f>$D1046-Sheet1!$M$3*$R1046</f>
        <v>-0.20080723373704856</v>
      </c>
      <c r="Z1046" s="6"/>
      <c r="AA1046" s="61"/>
    </row>
    <row r="1047" spans="1:27" ht="13.5">
      <c r="A1047" s="48" t="s">
        <v>125</v>
      </c>
      <c r="B1047" s="48">
        <f>5*11</f>
        <v>55</v>
      </c>
      <c r="C1047" s="48">
        <f>2^3*7</f>
        <v>56</v>
      </c>
      <c r="D1047" s="13">
        <f t="shared" si="21"/>
        <v>31.194250239533226</v>
      </c>
      <c r="E1047" s="61">
        <v>11</v>
      </c>
      <c r="F1047" s="65">
        <v>27.642553808867177</v>
      </c>
      <c r="G1047" s="6">
        <v>54</v>
      </c>
      <c r="H1047" s="6">
        <v>49</v>
      </c>
      <c r="I1047" s="65">
        <v>-1.9207436340891142</v>
      </c>
      <c r="J1047" s="6">
        <f>VLOOKUP($D1047,Sheet1!$A$5:$C$192,3,TRUE)</f>
        <v>6</v>
      </c>
      <c r="K1047" s="42" t="str">
        <f>VLOOKUP($D1047,Sheet1!$A$5:$C$192,2,TRUE)</f>
        <v>(|</v>
      </c>
      <c r="L1047" s="6">
        <f>FLOOR(VLOOKUP($D1047,Sheet1!$D$5:$F$192,3,TRUE),1)</f>
        <v>13</v>
      </c>
      <c r="M1047" s="42" t="str">
        <f>VLOOKUP($D1047,Sheet1!$D$5:$F$192,2,TRUE)</f>
        <v>|\</v>
      </c>
      <c r="N1047" s="39">
        <f>FLOOR(VLOOKUP($D1047,Sheet1!$G$5:$I$192,3,TRUE),1)</f>
        <v>16</v>
      </c>
      <c r="O1047" s="44" t="str">
        <f>VLOOKUP($D1047,Sheet1!$G$5:$I$192,2,TRUE)</f>
        <v>.(|</v>
      </c>
      <c r="P1047" s="39">
        <v>1</v>
      </c>
      <c r="Q1047" s="44" t="str">
        <f>VLOOKUP($D1047,Sheet1!$J$5:$L$192,2,TRUE)</f>
        <v>.(|</v>
      </c>
      <c r="R1047" s="39">
        <f>FLOOR(VLOOKUP($D1047,Sheet1!$M$5:$O$192,3,TRUE),1)</f>
        <v>64</v>
      </c>
      <c r="S1047" s="44" t="str">
        <f>VLOOKUP($D1047,Sheet1!$M$5:$O$192,2,TRUE)</f>
        <v>.(|</v>
      </c>
      <c r="T1047" s="113" t="str">
        <f>IF(ABS(D1047-VLOOKUP($D1047,Sheet1!$M$5:$T$192,8,TRUE))&lt;10^-10,"SoCA",D1047-VLOOKUP($D1047,Sheet1!$M$5:$T$192,8,TRUE))</f>
        <v>SoCA</v>
      </c>
      <c r="U1047" s="118" t="str">
        <f>IF(VLOOKUP($D1047,Sheet1!$M$5:$U$192,9,TRUE)=0,"",IF(ABS(D1047-VLOOKUP($D1047,Sheet1!$M$5:$U$192,9,TRUE))&lt;10^-10,"Alt.",D1047-VLOOKUP($D1047,Sheet1!$M$5:$U$192,9,TRUE)))</f>
        <v/>
      </c>
      <c r="V1047" s="136">
        <f>$D1047-Sheet1!$M$3*$R1047</f>
        <v>-3.2532540267474985E-2</v>
      </c>
      <c r="Z1047" s="6"/>
      <c r="AA1047" s="61"/>
    </row>
    <row r="1048" spans="1:27" ht="13.5">
      <c r="A1048" s="6" t="s">
        <v>580</v>
      </c>
      <c r="B1048" s="6">
        <f>2^5*29</f>
        <v>928</v>
      </c>
      <c r="C1048" s="6">
        <f>3^3*5*7</f>
        <v>945</v>
      </c>
      <c r="D1048" s="13">
        <f t="shared" si="21"/>
        <v>31.427428777035367</v>
      </c>
      <c r="E1048" s="61">
        <v>29</v>
      </c>
      <c r="F1048" s="65">
        <v>49.304845479280452</v>
      </c>
      <c r="G1048" s="6">
        <v>460</v>
      </c>
      <c r="H1048" s="6">
        <v>425</v>
      </c>
      <c r="I1048" s="65">
        <v>1.0648987138412156</v>
      </c>
      <c r="J1048" s="6">
        <f>VLOOKUP($D1048,Sheet1!$A$5:$C$192,3,TRUE)</f>
        <v>6</v>
      </c>
      <c r="K1048" s="42" t="str">
        <f>VLOOKUP($D1048,Sheet1!$A$5:$C$192,2,TRUE)</f>
        <v>(|</v>
      </c>
      <c r="L1048" s="6">
        <f>FLOOR(VLOOKUP($D1048,Sheet1!$D$5:$F$192,3,TRUE),1)</f>
        <v>13</v>
      </c>
      <c r="M1048" s="42" t="str">
        <f>VLOOKUP($D1048,Sheet1!$D$5:$F$192,2,TRUE)</f>
        <v>|\</v>
      </c>
      <c r="N1048" s="23">
        <f>FLOOR(VLOOKUP($D1048,Sheet1!$G$5:$I$192,3,TRUE),1)</f>
        <v>16</v>
      </c>
      <c r="O1048" s="42" t="str">
        <f>VLOOKUP($D1048,Sheet1!$G$5:$I$192,2,TRUE)</f>
        <v>.(|</v>
      </c>
      <c r="P1048" s="23">
        <v>1</v>
      </c>
      <c r="Q1048" s="43" t="str">
        <f>VLOOKUP($D1048,Sheet1!$J$5:$L$192,2,TRUE)</f>
        <v>.(|</v>
      </c>
      <c r="R1048" s="23">
        <f>FLOOR(VLOOKUP($D1048,Sheet1!$M$5:$O$192,3,TRUE),1)</f>
        <v>64</v>
      </c>
      <c r="S1048" s="42" t="str">
        <f>VLOOKUP($D1048,Sheet1!$M$5:$O$192,2,TRUE)</f>
        <v>.(|</v>
      </c>
      <c r="T1048" s="117">
        <f>IF(ABS(D1048-VLOOKUP($D1048,Sheet1!$M$5:$T$192,8,TRUE))&lt;10^-10,"SoCA",D1048-VLOOKUP($D1048,Sheet1!$M$5:$T$192,8,TRUE))</f>
        <v>0.23317853750203454</v>
      </c>
      <c r="U1048" s="109" t="str">
        <f>IF(VLOOKUP($D1048,Sheet1!$M$5:$U$192,9,TRUE)=0,"",IF(ABS(D1048-VLOOKUP($D1048,Sheet1!$M$5:$U$192,9,TRUE))&lt;10^-10,"Alt.",D1048-VLOOKUP($D1048,Sheet1!$M$5:$U$192,9,TRUE)))</f>
        <v/>
      </c>
      <c r="V1048" s="132">
        <f>$D1048-Sheet1!$M$3*$R1048</f>
        <v>0.20064599723466614</v>
      </c>
      <c r="Z1048" s="6"/>
      <c r="AA1048" s="61"/>
    </row>
    <row r="1049" spans="1:27" ht="13.5">
      <c r="A1049" t="s">
        <v>1418</v>
      </c>
      <c r="B1049">
        <v>4194304</v>
      </c>
      <c r="C1049">
        <v>4271211</v>
      </c>
      <c r="D1049" s="13">
        <f t="shared" si="21"/>
        <v>31.456486721861939</v>
      </c>
      <c r="E1049" s="61">
        <v>31</v>
      </c>
      <c r="F1049" s="65">
        <v>59.77939728296834</v>
      </c>
      <c r="G1049" s="6">
        <v>1335</v>
      </c>
      <c r="H1049" s="6">
        <v>1267</v>
      </c>
      <c r="I1049" s="65">
        <v>7.0631095103143871</v>
      </c>
      <c r="J1049" s="6">
        <f>VLOOKUP($D1049,Sheet1!$A$5:$C$192,3,TRUE)</f>
        <v>6</v>
      </c>
      <c r="K1049" s="42" t="str">
        <f>VLOOKUP($D1049,Sheet1!$A$5:$C$192,2,TRUE)</f>
        <v>(|</v>
      </c>
      <c r="L1049" s="6">
        <f>FLOOR(VLOOKUP($D1049,Sheet1!$D$5:$F$192,3,TRUE),1)</f>
        <v>13</v>
      </c>
      <c r="M1049" s="42" t="str">
        <f>VLOOKUP($D1049,Sheet1!$D$5:$F$192,2,TRUE)</f>
        <v>|\</v>
      </c>
      <c r="N1049" s="23">
        <f>FLOOR(VLOOKUP($D1049,Sheet1!$G$5:$I$192,3,TRUE),1)</f>
        <v>16</v>
      </c>
      <c r="O1049" s="42" t="str">
        <f>VLOOKUP($D1049,Sheet1!$G$5:$I$192,2,TRUE)</f>
        <v>.(|</v>
      </c>
      <c r="P1049" s="23">
        <v>1</v>
      </c>
      <c r="Q1049" s="43" t="str">
        <f>VLOOKUP($D1049,Sheet1!$J$5:$L$192,2,TRUE)</f>
        <v>.(|</v>
      </c>
      <c r="R1049" s="23">
        <f>FLOOR(VLOOKUP($D1049,Sheet1!$M$5:$O$192,3,TRUE),1)</f>
        <v>64</v>
      </c>
      <c r="S1049" s="42" t="str">
        <f>VLOOKUP($D1049,Sheet1!$M$5:$O$192,2,TRUE)</f>
        <v>.(|</v>
      </c>
      <c r="T1049" s="117">
        <f>IF(ABS(D1049-VLOOKUP($D1049,Sheet1!$M$5:$T$192,8,TRUE))&lt;10^-10,"SoCA",D1049-VLOOKUP($D1049,Sheet1!$M$5:$T$192,8,TRUE))</f>
        <v>0.26223648232860697</v>
      </c>
      <c r="U1049" s="109" t="str">
        <f>IF(VLOOKUP($D1049,Sheet1!$M$5:$U$192,9,TRUE)=0,"",IF(ABS(D1049-VLOOKUP($D1049,Sheet1!$M$5:$U$192,9,TRUE))&lt;10^-10,"Alt.",D1049-VLOOKUP($D1049,Sheet1!$M$5:$U$192,9,TRUE)))</f>
        <v/>
      </c>
      <c r="V1049" s="132">
        <f>$D1049-Sheet1!$M$3*$R1049</f>
        <v>0.22970394206123856</v>
      </c>
      <c r="Z1049" s="6"/>
      <c r="AA1049" s="61"/>
    </row>
    <row r="1050" spans="1:27" ht="13.5">
      <c r="A1050" s="23" t="s">
        <v>1028</v>
      </c>
      <c r="B1050" s="23">
        <f>2^19</f>
        <v>524288</v>
      </c>
      <c r="C1050" s="23">
        <f>3^5*13^3</f>
        <v>533871</v>
      </c>
      <c r="D1050" s="13">
        <f t="shared" si="21"/>
        <v>31.357989634868868</v>
      </c>
      <c r="E1050" s="61">
        <v>13</v>
      </c>
      <c r="F1050" s="65">
        <v>62.814326047307055</v>
      </c>
      <c r="G1050" s="6">
        <v>947</v>
      </c>
      <c r="H1050" s="6">
        <v>876</v>
      </c>
      <c r="I1050" s="65">
        <v>3.0691743348049751</v>
      </c>
      <c r="J1050" s="6">
        <f>VLOOKUP($D1050,Sheet1!$A$5:$C$192,3,TRUE)</f>
        <v>6</v>
      </c>
      <c r="K1050" s="42" t="str">
        <f>VLOOKUP($D1050,Sheet1!$A$5:$C$192,2,TRUE)</f>
        <v>(|</v>
      </c>
      <c r="L1050" s="6">
        <f>FLOOR(VLOOKUP($D1050,Sheet1!$D$5:$F$192,3,TRUE),1)</f>
        <v>13</v>
      </c>
      <c r="M1050" s="42" t="str">
        <f>VLOOKUP($D1050,Sheet1!$D$5:$F$192,2,TRUE)</f>
        <v>|\</v>
      </c>
      <c r="N1050" s="23">
        <f>FLOOR(VLOOKUP($D1050,Sheet1!$G$5:$I$192,3,TRUE),1)</f>
        <v>16</v>
      </c>
      <c r="O1050" s="42" t="str">
        <f>VLOOKUP($D1050,Sheet1!$G$5:$I$192,2,TRUE)</f>
        <v>.(|</v>
      </c>
      <c r="P1050" s="23">
        <v>1</v>
      </c>
      <c r="Q1050" s="43" t="str">
        <f>VLOOKUP($D1050,Sheet1!$J$5:$L$192,2,TRUE)</f>
        <v>.(|</v>
      </c>
      <c r="R1050" s="23">
        <f>FLOOR(VLOOKUP($D1050,Sheet1!$M$5:$O$192,3,TRUE),1)</f>
        <v>64</v>
      </c>
      <c r="S1050" s="43" t="str">
        <f>VLOOKUP($D1050,Sheet1!$M$5:$O$192,2,TRUE)</f>
        <v>.(|</v>
      </c>
      <c r="T1050" s="117">
        <f>IF(ABS(D1050-VLOOKUP($D1050,Sheet1!$M$5:$T$192,8,TRUE))&lt;10^-10,"SoCA",D1050-VLOOKUP($D1050,Sheet1!$M$5:$T$192,8,TRUE))</f>
        <v>0.16373939533553639</v>
      </c>
      <c r="U1050" s="117" t="str">
        <f>IF(VLOOKUP($D1050,Sheet1!$M$5:$U$192,9,TRUE)=0,"",IF(ABS(D1050-VLOOKUP($D1050,Sheet1!$M$5:$U$192,9,TRUE))&lt;10^-10,"Alt.",D1050-VLOOKUP($D1050,Sheet1!$M$5:$U$192,9,TRUE)))</f>
        <v/>
      </c>
      <c r="V1050" s="132">
        <f>$D1050-Sheet1!$M$3*$R1050</f>
        <v>0.13120685506816798</v>
      </c>
      <c r="Z1050" s="6"/>
      <c r="AA1050" s="61"/>
    </row>
    <row r="1051" spans="1:27" ht="13.5">
      <c r="A1051" t="s">
        <v>647</v>
      </c>
      <c r="B1051">
        <v>11664</v>
      </c>
      <c r="C1051">
        <v>11875</v>
      </c>
      <c r="D1051" s="13">
        <f t="shared" si="21"/>
        <v>31.03786639931738</v>
      </c>
      <c r="E1051" s="61">
        <v>19</v>
      </c>
      <c r="F1051" s="65">
        <v>81.125464870002759</v>
      </c>
      <c r="G1051" s="6">
        <v>428</v>
      </c>
      <c r="H1051" s="6">
        <v>492</v>
      </c>
      <c r="I1051" s="65">
        <v>-7.9111145113096759</v>
      </c>
      <c r="J1051" s="6">
        <f>VLOOKUP($D1051,Sheet1!$A$5:$C$192,3,TRUE)</f>
        <v>6</v>
      </c>
      <c r="K1051" s="42" t="str">
        <f>VLOOKUP($D1051,Sheet1!$A$5:$C$192,2,TRUE)</f>
        <v>(|</v>
      </c>
      <c r="L1051" s="6">
        <f>FLOOR(VLOOKUP($D1051,Sheet1!$D$5:$F$192,3,TRUE),1)</f>
        <v>13</v>
      </c>
      <c r="M1051" s="42" t="str">
        <f>VLOOKUP($D1051,Sheet1!$D$5:$F$192,2,TRUE)</f>
        <v>|\</v>
      </c>
      <c r="N1051" s="23">
        <f>FLOOR(VLOOKUP($D1051,Sheet1!$G$5:$I$192,3,TRUE),1)</f>
        <v>16</v>
      </c>
      <c r="O1051" s="42" t="str">
        <f>VLOOKUP($D1051,Sheet1!$G$5:$I$192,2,TRUE)</f>
        <v>.(|</v>
      </c>
      <c r="P1051" s="23">
        <v>1</v>
      </c>
      <c r="Q1051" s="43" t="str">
        <f>VLOOKUP($D1051,Sheet1!$J$5:$L$192,2,TRUE)</f>
        <v>.(|</v>
      </c>
      <c r="R1051" s="23">
        <f>FLOOR(VLOOKUP($D1051,Sheet1!$M$5:$O$192,3,TRUE),1)</f>
        <v>64</v>
      </c>
      <c r="S1051" s="42" t="str">
        <f>VLOOKUP($D1051,Sheet1!$M$5:$O$192,2,TRUE)</f>
        <v>.(|</v>
      </c>
      <c r="T1051" s="117">
        <f>IF(ABS(D1051-VLOOKUP($D1051,Sheet1!$M$5:$T$192,8,TRUE))&lt;10^-10,"SoCA",D1051-VLOOKUP($D1051,Sheet1!$M$5:$T$192,8,TRUE))</f>
        <v>-0.15638384021595186</v>
      </c>
      <c r="U1051" s="109" t="str">
        <f>IF(VLOOKUP($D1051,Sheet1!$M$5:$U$192,9,TRUE)=0,"",IF(ABS(D1051-VLOOKUP($D1051,Sheet1!$M$5:$U$192,9,TRUE))&lt;10^-10,"Alt.",D1051-VLOOKUP($D1051,Sheet1!$M$5:$U$192,9,TRUE)))</f>
        <v/>
      </c>
      <c r="V1051" s="132">
        <f>$D1051-Sheet1!$M$3*$R1051</f>
        <v>-0.18891638048332027</v>
      </c>
      <c r="Z1051" s="6"/>
      <c r="AA1051" s="61"/>
    </row>
    <row r="1052" spans="1:27" ht="13.5">
      <c r="A1052" t="s">
        <v>729</v>
      </c>
      <c r="B1052">
        <v>88064</v>
      </c>
      <c r="C1052">
        <v>89667</v>
      </c>
      <c r="D1052" s="13">
        <f t="shared" si="21"/>
        <v>31.229705956894776</v>
      </c>
      <c r="E1052" s="61">
        <v>43</v>
      </c>
      <c r="F1052" s="65">
        <v>85.990167292854011</v>
      </c>
      <c r="G1052" s="6">
        <v>617</v>
      </c>
      <c r="H1052" s="6">
        <v>574</v>
      </c>
      <c r="I1052" s="65">
        <v>5.0770732282207245</v>
      </c>
      <c r="J1052" s="6">
        <f>VLOOKUP($D1052,Sheet1!$A$5:$C$192,3,TRUE)</f>
        <v>6</v>
      </c>
      <c r="K1052" s="42" t="str">
        <f>VLOOKUP($D1052,Sheet1!$A$5:$C$192,2,TRUE)</f>
        <v>(|</v>
      </c>
      <c r="L1052" s="6">
        <f>FLOOR(VLOOKUP($D1052,Sheet1!$D$5:$F$192,3,TRUE),1)</f>
        <v>13</v>
      </c>
      <c r="M1052" s="42" t="str">
        <f>VLOOKUP($D1052,Sheet1!$D$5:$F$192,2,TRUE)</f>
        <v>|\</v>
      </c>
      <c r="N1052" s="23">
        <f>FLOOR(VLOOKUP($D1052,Sheet1!$G$5:$I$192,3,TRUE),1)</f>
        <v>16</v>
      </c>
      <c r="O1052" s="42" t="str">
        <f>VLOOKUP($D1052,Sheet1!$G$5:$I$192,2,TRUE)</f>
        <v>.(|</v>
      </c>
      <c r="P1052" s="23">
        <v>1</v>
      </c>
      <c r="Q1052" s="43" t="str">
        <f>VLOOKUP($D1052,Sheet1!$J$5:$L$192,2,TRUE)</f>
        <v>.(|</v>
      </c>
      <c r="R1052" s="23">
        <f>FLOOR(VLOOKUP($D1052,Sheet1!$M$5:$O$192,3,TRUE),1)</f>
        <v>64</v>
      </c>
      <c r="S1052" s="42" t="str">
        <f>VLOOKUP($D1052,Sheet1!$M$5:$O$192,2,TRUE)</f>
        <v>.(|</v>
      </c>
      <c r="T1052" s="117">
        <f>IF(ABS(D1052-VLOOKUP($D1052,Sheet1!$M$5:$T$192,8,TRUE))&lt;10^-10,"SoCA",D1052-VLOOKUP($D1052,Sheet1!$M$5:$T$192,8,TRUE))</f>
        <v>3.5455717361443817E-2</v>
      </c>
      <c r="U1052" s="109" t="str">
        <f>IF(VLOOKUP($D1052,Sheet1!$M$5:$U$192,9,TRUE)=0,"",IF(ABS(D1052-VLOOKUP($D1052,Sheet1!$M$5:$U$192,9,TRUE))&lt;10^-10,"Alt.",D1052-VLOOKUP($D1052,Sheet1!$M$5:$U$192,9,TRUE)))</f>
        <v/>
      </c>
      <c r="V1052" s="132">
        <f>$D1052-Sheet1!$M$3*$R1052</f>
        <v>2.9231770940754132E-3</v>
      </c>
      <c r="Z1052" s="6"/>
      <c r="AA1052" s="61"/>
    </row>
    <row r="1053" spans="1:27" ht="13.5">
      <c r="A1053" t="s">
        <v>1096</v>
      </c>
      <c r="B1053">
        <v>483328</v>
      </c>
      <c r="C1053">
        <v>492075</v>
      </c>
      <c r="D1053" s="13">
        <f t="shared" si="21"/>
        <v>31.050776283947016</v>
      </c>
      <c r="E1053" s="61" t="s">
        <v>1931</v>
      </c>
      <c r="F1053" s="65">
        <v>90.430314317611646</v>
      </c>
      <c r="G1053" s="6">
        <v>862</v>
      </c>
      <c r="H1053" s="6">
        <v>945</v>
      </c>
      <c r="I1053" s="65">
        <v>7.088090580060407</v>
      </c>
      <c r="J1053" s="6">
        <f>VLOOKUP($D1053,Sheet1!$A$5:$C$192,3,TRUE)</f>
        <v>6</v>
      </c>
      <c r="K1053" s="42" t="str">
        <f>VLOOKUP($D1053,Sheet1!$A$5:$C$192,2,TRUE)</f>
        <v>(|</v>
      </c>
      <c r="L1053" s="6">
        <f>FLOOR(VLOOKUP($D1053,Sheet1!$D$5:$F$192,3,TRUE),1)</f>
        <v>13</v>
      </c>
      <c r="M1053" s="42" t="str">
        <f>VLOOKUP($D1053,Sheet1!$D$5:$F$192,2,TRUE)</f>
        <v>|\</v>
      </c>
      <c r="N1053" s="23">
        <f>FLOOR(VLOOKUP($D1053,Sheet1!$G$5:$I$192,3,TRUE),1)</f>
        <v>16</v>
      </c>
      <c r="O1053" s="42" t="str">
        <f>VLOOKUP($D1053,Sheet1!$G$5:$I$192,2,TRUE)</f>
        <v>.(|</v>
      </c>
      <c r="P1053" s="23">
        <v>1</v>
      </c>
      <c r="Q1053" s="43" t="str">
        <f>VLOOKUP($D1053,Sheet1!$J$5:$L$192,2,TRUE)</f>
        <v>.(|</v>
      </c>
      <c r="R1053" s="23">
        <f>FLOOR(VLOOKUP($D1053,Sheet1!$M$5:$O$192,3,TRUE),1)</f>
        <v>64</v>
      </c>
      <c r="S1053" s="42" t="str">
        <f>VLOOKUP($D1053,Sheet1!$M$5:$O$192,2,TRUE)</f>
        <v>.(|</v>
      </c>
      <c r="T1053" s="117">
        <f>IF(ABS(D1053-VLOOKUP($D1053,Sheet1!$M$5:$T$192,8,TRUE))&lt;10^-10,"SoCA",D1053-VLOOKUP($D1053,Sheet1!$M$5:$T$192,8,TRUE))</f>
        <v>-0.14347395558631604</v>
      </c>
      <c r="U1053" s="109" t="str">
        <f>IF(VLOOKUP($D1053,Sheet1!$M$5:$U$192,9,TRUE)=0,"",IF(ABS(D1053-VLOOKUP($D1053,Sheet1!$M$5:$U$192,9,TRUE))&lt;10^-10,"Alt.",D1053-VLOOKUP($D1053,Sheet1!$M$5:$U$192,9,TRUE)))</f>
        <v/>
      </c>
      <c r="V1053" s="132">
        <f>$D1053-Sheet1!$M$3*$R1053</f>
        <v>-0.17600649585368444</v>
      </c>
      <c r="Z1053" s="6"/>
      <c r="AA1053" s="61"/>
    </row>
    <row r="1054" spans="1:27" ht="13.5">
      <c r="A1054" t="s">
        <v>1029</v>
      </c>
      <c r="B1054">
        <v>14080</v>
      </c>
      <c r="C1054">
        <v>14337</v>
      </c>
      <c r="D1054" s="13">
        <f t="shared" si="21"/>
        <v>31.315007331555165</v>
      </c>
      <c r="E1054" s="61" t="s">
        <v>1931</v>
      </c>
      <c r="F1054" s="65">
        <v>90.484826560122187</v>
      </c>
      <c r="G1054" s="6">
        <v>948</v>
      </c>
      <c r="H1054" s="6">
        <v>877</v>
      </c>
      <c r="I1054" s="65">
        <v>3.0718209118130564</v>
      </c>
      <c r="J1054" s="6">
        <f>VLOOKUP($D1054,Sheet1!$A$5:$C$192,3,TRUE)</f>
        <v>6</v>
      </c>
      <c r="K1054" s="42" t="str">
        <f>VLOOKUP($D1054,Sheet1!$A$5:$C$192,2,TRUE)</f>
        <v>(|</v>
      </c>
      <c r="L1054" s="6">
        <f>FLOOR(VLOOKUP($D1054,Sheet1!$D$5:$F$192,3,TRUE),1)</f>
        <v>13</v>
      </c>
      <c r="M1054" s="42" t="str">
        <f>VLOOKUP($D1054,Sheet1!$D$5:$F$192,2,TRUE)</f>
        <v>|\</v>
      </c>
      <c r="N1054" s="23">
        <f>FLOOR(VLOOKUP($D1054,Sheet1!$G$5:$I$192,3,TRUE),1)</f>
        <v>16</v>
      </c>
      <c r="O1054" s="42" t="str">
        <f>VLOOKUP($D1054,Sheet1!$G$5:$I$192,2,TRUE)</f>
        <v>.(|</v>
      </c>
      <c r="P1054" s="23">
        <v>1</v>
      </c>
      <c r="Q1054" s="43" t="str">
        <f>VLOOKUP($D1054,Sheet1!$J$5:$L$192,2,TRUE)</f>
        <v>.(|</v>
      </c>
      <c r="R1054" s="23">
        <f>FLOOR(VLOOKUP($D1054,Sheet1!$M$5:$O$192,3,TRUE),1)</f>
        <v>64</v>
      </c>
      <c r="S1054" s="42" t="str">
        <f>VLOOKUP($D1054,Sheet1!$M$5:$O$192,2,TRUE)</f>
        <v>.(|</v>
      </c>
      <c r="T1054" s="117">
        <f>IF(ABS(D1054-VLOOKUP($D1054,Sheet1!$M$5:$T$192,8,TRUE))&lt;10^-10,"SoCA",D1054-VLOOKUP($D1054,Sheet1!$M$5:$T$192,8,TRUE))</f>
        <v>0.12075709202183305</v>
      </c>
      <c r="U1054" s="109" t="str">
        <f>IF(VLOOKUP($D1054,Sheet1!$M$5:$U$192,9,TRUE)=0,"",IF(ABS(D1054-VLOOKUP($D1054,Sheet1!$M$5:$U$192,9,TRUE))&lt;10^-10,"Alt.",D1054-VLOOKUP($D1054,Sheet1!$M$5:$U$192,9,TRUE)))</f>
        <v/>
      </c>
      <c r="V1054" s="132">
        <f>$D1054-Sheet1!$M$3*$R1054</f>
        <v>8.8224551754464642E-2</v>
      </c>
      <c r="Z1054" s="6"/>
      <c r="AA1054" s="61"/>
    </row>
    <row r="1055" spans="1:27" ht="13.5">
      <c r="A1055" t="s">
        <v>1315</v>
      </c>
      <c r="B1055">
        <v>45360</v>
      </c>
      <c r="C1055">
        <v>46189</v>
      </c>
      <c r="D1055" s="13">
        <f t="shared" si="21"/>
        <v>31.354405971267742</v>
      </c>
      <c r="E1055" s="61">
        <v>19</v>
      </c>
      <c r="F1055" s="65">
        <v>101.71534125124475</v>
      </c>
      <c r="G1055" s="6">
        <v>1224</v>
      </c>
      <c r="H1055" s="6">
        <v>1164</v>
      </c>
      <c r="I1055" s="65">
        <v>-5.9306050059711062</v>
      </c>
      <c r="J1055" s="6">
        <f>VLOOKUP($D1055,Sheet1!$A$5:$C$192,3,TRUE)</f>
        <v>6</v>
      </c>
      <c r="K1055" s="42" t="str">
        <f>VLOOKUP($D1055,Sheet1!$A$5:$C$192,2,TRUE)</f>
        <v>(|</v>
      </c>
      <c r="L1055" s="6">
        <f>FLOOR(VLOOKUP($D1055,Sheet1!$D$5:$F$192,3,TRUE),1)</f>
        <v>13</v>
      </c>
      <c r="M1055" s="42" t="str">
        <f>VLOOKUP($D1055,Sheet1!$D$5:$F$192,2,TRUE)</f>
        <v>|\</v>
      </c>
      <c r="N1055" s="23">
        <f>FLOOR(VLOOKUP($D1055,Sheet1!$G$5:$I$192,3,TRUE),1)</f>
        <v>16</v>
      </c>
      <c r="O1055" s="42" t="str">
        <f>VLOOKUP($D1055,Sheet1!$G$5:$I$192,2,TRUE)</f>
        <v>.(|</v>
      </c>
      <c r="P1055" s="23">
        <v>1</v>
      </c>
      <c r="Q1055" s="43" t="str">
        <f>VLOOKUP($D1055,Sheet1!$J$5:$L$192,2,TRUE)</f>
        <v>.(|</v>
      </c>
      <c r="R1055" s="23">
        <f>FLOOR(VLOOKUP($D1055,Sheet1!$M$5:$O$192,3,TRUE),1)</f>
        <v>64</v>
      </c>
      <c r="S1055" s="42" t="str">
        <f>VLOOKUP($D1055,Sheet1!$M$5:$O$192,2,TRUE)</f>
        <v>.(|</v>
      </c>
      <c r="T1055" s="117">
        <f>IF(ABS(D1055-VLOOKUP($D1055,Sheet1!$M$5:$T$192,8,TRUE))&lt;10^-10,"SoCA",D1055-VLOOKUP($D1055,Sheet1!$M$5:$T$192,8,TRUE))</f>
        <v>0.16015573173440956</v>
      </c>
      <c r="U1055" s="109" t="str">
        <f>IF(VLOOKUP($D1055,Sheet1!$M$5:$U$192,9,TRUE)=0,"",IF(ABS(D1055-VLOOKUP($D1055,Sheet1!$M$5:$U$192,9,TRUE))&lt;10^-10,"Alt.",D1055-VLOOKUP($D1055,Sheet1!$M$5:$U$192,9,TRUE)))</f>
        <v/>
      </c>
      <c r="V1055" s="132">
        <f>$D1055-Sheet1!$M$3*$R1055</f>
        <v>0.12762319146704115</v>
      </c>
      <c r="Z1055" s="6"/>
      <c r="AA1055" s="61"/>
    </row>
    <row r="1056" spans="1:27" ht="13.5">
      <c r="A1056" t="s">
        <v>1739</v>
      </c>
      <c r="B1056">
        <v>1073741824</v>
      </c>
      <c r="C1056">
        <v>1093174137</v>
      </c>
      <c r="D1056" s="13">
        <f t="shared" si="21"/>
        <v>31.05130461456972</v>
      </c>
      <c r="E1056" s="61">
        <v>17</v>
      </c>
      <c r="F1056" s="65">
        <v>115.57891802190163</v>
      </c>
      <c r="G1056" s="6">
        <v>1647</v>
      </c>
      <c r="H1056" s="6">
        <v>1588</v>
      </c>
      <c r="I1056" s="65">
        <v>10.088058048819153</v>
      </c>
      <c r="J1056" s="6">
        <f>VLOOKUP($D1056,Sheet1!$A$5:$C$192,3,TRUE)</f>
        <v>6</v>
      </c>
      <c r="K1056" s="42" t="str">
        <f>VLOOKUP($D1056,Sheet1!$A$5:$C$192,2,TRUE)</f>
        <v>(|</v>
      </c>
      <c r="L1056" s="6">
        <f>FLOOR(VLOOKUP($D1056,Sheet1!$D$5:$F$192,3,TRUE),1)</f>
        <v>13</v>
      </c>
      <c r="M1056" s="42" t="str">
        <f>VLOOKUP($D1056,Sheet1!$D$5:$F$192,2,TRUE)</f>
        <v>|\</v>
      </c>
      <c r="N1056" s="23">
        <f>FLOOR(VLOOKUP($D1056,Sheet1!$G$5:$I$192,3,TRUE),1)</f>
        <v>16</v>
      </c>
      <c r="O1056" s="42" t="str">
        <f>VLOOKUP($D1056,Sheet1!$G$5:$I$192,2,TRUE)</f>
        <v>.(|</v>
      </c>
      <c r="P1056" s="23">
        <v>1</v>
      </c>
      <c r="Q1056" s="43" t="str">
        <f>VLOOKUP($D1056,Sheet1!$J$5:$L$192,2,TRUE)</f>
        <v>.(|</v>
      </c>
      <c r="R1056" s="23">
        <f>FLOOR(VLOOKUP($D1056,Sheet1!$M$5:$O$192,3,TRUE),1)</f>
        <v>64</v>
      </c>
      <c r="S1056" s="42" t="str">
        <f>VLOOKUP($D1056,Sheet1!$M$5:$O$192,2,TRUE)</f>
        <v>.(|</v>
      </c>
      <c r="T1056" s="117">
        <f>IF(ABS(D1056-VLOOKUP($D1056,Sheet1!$M$5:$T$192,8,TRUE))&lt;10^-10,"SoCA",D1056-VLOOKUP($D1056,Sheet1!$M$5:$T$192,8,TRUE))</f>
        <v>-0.14294562496361252</v>
      </c>
      <c r="U1056" s="109" t="str">
        <f>IF(VLOOKUP($D1056,Sheet1!$M$5:$U$192,9,TRUE)=0,"",IF(ABS(D1056-VLOOKUP($D1056,Sheet1!$M$5:$U$192,9,TRUE))&lt;10^-10,"Alt.",D1056-VLOOKUP($D1056,Sheet1!$M$5:$U$192,9,TRUE)))</f>
        <v/>
      </c>
      <c r="V1056" s="132">
        <f>$D1056-Sheet1!$M$3*$R1056</f>
        <v>-0.17547816523098092</v>
      </c>
      <c r="Z1056" s="6"/>
      <c r="AA1056" s="61"/>
    </row>
    <row r="1057" spans="1:27" ht="13.5">
      <c r="A1057" s="6" t="s">
        <v>1911</v>
      </c>
      <c r="B1057">
        <v>922640625</v>
      </c>
      <c r="C1057">
        <v>939524096</v>
      </c>
      <c r="D1057" s="13">
        <f t="shared" si="21"/>
        <v>31.393614626241899</v>
      </c>
      <c r="E1057" s="61">
        <v>7</v>
      </c>
      <c r="F1057" s="65">
        <v>123.93022348863792</v>
      </c>
      <c r="G1057" s="59">
        <v>1751</v>
      </c>
      <c r="H1057" s="63">
        <v>1000116</v>
      </c>
      <c r="I1057" s="65">
        <v>-11.933019225702772</v>
      </c>
      <c r="J1057" s="6">
        <f>VLOOKUP($D1057,Sheet1!$A$5:$C$192,3,TRUE)</f>
        <v>6</v>
      </c>
      <c r="K1057" s="42" t="str">
        <f>VLOOKUP($D1057,Sheet1!$A$5:$C$192,2,TRUE)</f>
        <v>(|</v>
      </c>
      <c r="L1057" s="6">
        <f>FLOOR(VLOOKUP($D1057,Sheet1!$D$5:$F$192,3,TRUE),1)</f>
        <v>13</v>
      </c>
      <c r="M1057" s="42" t="str">
        <f>VLOOKUP($D1057,Sheet1!$D$5:$F$192,2,TRUE)</f>
        <v>|\</v>
      </c>
      <c r="N1057" s="23">
        <f>FLOOR(VLOOKUP($D1057,Sheet1!$G$5:$I$192,3,TRUE),1)</f>
        <v>16</v>
      </c>
      <c r="O1057" s="42" t="str">
        <f>VLOOKUP($D1057,Sheet1!$G$5:$I$192,2,TRUE)</f>
        <v>.(|</v>
      </c>
      <c r="P1057" s="23">
        <v>1</v>
      </c>
      <c r="Q1057" s="43" t="str">
        <f>VLOOKUP($D1057,Sheet1!$J$5:$L$192,2,TRUE)</f>
        <v>.(|</v>
      </c>
      <c r="R1057" s="23">
        <f>FLOOR(VLOOKUP($D1057,Sheet1!$M$5:$O$192,3,TRUE),1)</f>
        <v>64</v>
      </c>
      <c r="S1057" s="42" t="str">
        <f>VLOOKUP($D1057,Sheet1!$M$5:$O$192,2,TRUE)</f>
        <v>.(|</v>
      </c>
      <c r="T1057" s="117">
        <f>IF(ABS(D1057-VLOOKUP($D1057,Sheet1!$M$5:$T$192,8,TRUE))&lt;10^-10,"SoCA",D1057-VLOOKUP($D1057,Sheet1!$M$5:$T$192,8,TRUE))</f>
        <v>0.1993643867085666</v>
      </c>
      <c r="U1057" s="109" t="str">
        <f>IF(VLOOKUP($D1057,Sheet1!$M$5:$U$192,9,TRUE)=0,"",IF(ABS(D1057-VLOOKUP($D1057,Sheet1!$M$5:$U$192,9,TRUE))&lt;10^-10,"Alt.",D1057-VLOOKUP($D1057,Sheet1!$M$5:$U$192,9,TRUE)))</f>
        <v/>
      </c>
      <c r="V1057" s="132">
        <f>$D1057-Sheet1!$M$3*$R1057</f>
        <v>0.16683184644119819</v>
      </c>
      <c r="Z1057" s="6"/>
      <c r="AA1057" s="61"/>
    </row>
    <row r="1058" spans="1:27" ht="13.5">
      <c r="A1058" t="s">
        <v>629</v>
      </c>
      <c r="B1058">
        <v>263671875</v>
      </c>
      <c r="C1058">
        <v>268435456</v>
      </c>
      <c r="D1058" s="13">
        <f t="shared" si="21"/>
        <v>30.997858755489432</v>
      </c>
      <c r="E1058" s="61">
        <v>5</v>
      </c>
      <c r="F1058" s="65">
        <v>150.4151269202855</v>
      </c>
      <c r="G1058" s="6">
        <v>481</v>
      </c>
      <c r="H1058" s="6">
        <v>474</v>
      </c>
      <c r="I1058" s="65">
        <v>-4.9086510949234068</v>
      </c>
      <c r="J1058" s="6">
        <f>VLOOKUP($D1058,Sheet1!$A$5:$C$192,3,TRUE)</f>
        <v>6</v>
      </c>
      <c r="K1058" s="42" t="str">
        <f>VLOOKUP($D1058,Sheet1!$A$5:$C$192,2,TRUE)</f>
        <v>(|</v>
      </c>
      <c r="L1058" s="6">
        <f>FLOOR(VLOOKUP($D1058,Sheet1!$D$5:$F$192,3,TRUE),1)</f>
        <v>13</v>
      </c>
      <c r="M1058" s="42" t="str">
        <f>VLOOKUP($D1058,Sheet1!$D$5:$F$192,2,TRUE)</f>
        <v>|\</v>
      </c>
      <c r="N1058" s="23">
        <f>FLOOR(VLOOKUP($D1058,Sheet1!$G$5:$I$192,3,TRUE),1)</f>
        <v>16</v>
      </c>
      <c r="O1058" s="42" t="str">
        <f>VLOOKUP($D1058,Sheet1!$G$5:$I$192,2,TRUE)</f>
        <v>.(|</v>
      </c>
      <c r="P1058" s="23">
        <v>1</v>
      </c>
      <c r="Q1058" s="43" t="str">
        <f>VLOOKUP($D1058,Sheet1!$J$5:$L$192,2,TRUE)</f>
        <v>.(|</v>
      </c>
      <c r="R1058" s="23">
        <f>FLOOR(VLOOKUP($D1058,Sheet1!$M$5:$O$192,3,TRUE),1)</f>
        <v>64</v>
      </c>
      <c r="S1058" s="42" t="str">
        <f>VLOOKUP($D1058,Sheet1!$M$5:$O$192,2,TRUE)</f>
        <v>.(|</v>
      </c>
      <c r="T1058" s="117">
        <f>IF(ABS(D1058-VLOOKUP($D1058,Sheet1!$M$5:$T$192,8,TRUE))&lt;10^-10,"SoCA",D1058-VLOOKUP($D1058,Sheet1!$M$5:$T$192,8,TRUE))</f>
        <v>-0.19639148404390028</v>
      </c>
      <c r="U1058" s="109" t="str">
        <f>IF(VLOOKUP($D1058,Sheet1!$M$5:$U$192,9,TRUE)=0,"",IF(ABS(D1058-VLOOKUP($D1058,Sheet1!$M$5:$U$192,9,TRUE))&lt;10^-10,"Alt.",D1058-VLOOKUP($D1058,Sheet1!$M$5:$U$192,9,TRUE)))</f>
        <v/>
      </c>
      <c r="V1058" s="132">
        <f>$D1058-Sheet1!$M$3*$R1058</f>
        <v>-0.22892402431126868</v>
      </c>
      <c r="Z1058" s="6"/>
      <c r="AA1058" s="61"/>
    </row>
    <row r="1059" spans="1:27" ht="13.5">
      <c r="A1059" t="s">
        <v>492</v>
      </c>
      <c r="B1059">
        <v>4023</v>
      </c>
      <c r="C1059">
        <v>4096</v>
      </c>
      <c r="D1059" s="13">
        <f t="shared" si="21"/>
        <v>31.132772849243739</v>
      </c>
      <c r="E1059" s="61" t="s">
        <v>1931</v>
      </c>
      <c r="F1059" s="65">
        <v>179.32953094329312</v>
      </c>
      <c r="G1059" s="6">
        <v>348</v>
      </c>
      <c r="H1059" s="6">
        <v>333</v>
      </c>
      <c r="I1059" s="65">
        <v>-4.916958247194664</v>
      </c>
      <c r="J1059" s="6">
        <f>VLOOKUP($D1059,Sheet1!$A$5:$C$192,3,TRUE)</f>
        <v>6</v>
      </c>
      <c r="K1059" s="42" t="str">
        <f>VLOOKUP($D1059,Sheet1!$A$5:$C$192,2,TRUE)</f>
        <v>(|</v>
      </c>
      <c r="L1059" s="6">
        <f>FLOOR(VLOOKUP($D1059,Sheet1!$D$5:$F$192,3,TRUE),1)</f>
        <v>13</v>
      </c>
      <c r="M1059" s="42" t="str">
        <f>VLOOKUP($D1059,Sheet1!$D$5:$F$192,2,TRUE)</f>
        <v>|\</v>
      </c>
      <c r="N1059" s="23">
        <f>FLOOR(VLOOKUP($D1059,Sheet1!$G$5:$I$192,3,TRUE),1)</f>
        <v>16</v>
      </c>
      <c r="O1059" s="42" t="str">
        <f>VLOOKUP($D1059,Sheet1!$G$5:$I$192,2,TRUE)</f>
        <v>.(|</v>
      </c>
      <c r="P1059" s="23">
        <v>1</v>
      </c>
      <c r="Q1059" s="43" t="str">
        <f>VLOOKUP($D1059,Sheet1!$J$5:$L$192,2,TRUE)</f>
        <v>.(|</v>
      </c>
      <c r="R1059" s="23">
        <f>FLOOR(VLOOKUP($D1059,Sheet1!$M$5:$O$192,3,TRUE),1)</f>
        <v>64</v>
      </c>
      <c r="S1059" s="42" t="str">
        <f>VLOOKUP($D1059,Sheet1!$M$5:$O$192,2,TRUE)</f>
        <v>.(|</v>
      </c>
      <c r="T1059" s="117">
        <f>IF(ABS(D1059-VLOOKUP($D1059,Sheet1!$M$5:$T$192,8,TRUE))&lt;10^-10,"SoCA",D1059-VLOOKUP($D1059,Sheet1!$M$5:$T$192,8,TRUE))</f>
        <v>-6.1477390289592648E-2</v>
      </c>
      <c r="U1059" s="109" t="str">
        <f>IF(VLOOKUP($D1059,Sheet1!$M$5:$U$192,9,TRUE)=0,"",IF(ABS(D1059-VLOOKUP($D1059,Sheet1!$M$5:$U$192,9,TRUE))&lt;10^-10,"Alt.",D1059-VLOOKUP($D1059,Sheet1!$M$5:$U$192,9,TRUE)))</f>
        <v/>
      </c>
      <c r="V1059" s="132">
        <f>$D1059-Sheet1!$M$3*$R1059</f>
        <v>-9.4009930556961052E-2</v>
      </c>
      <c r="Z1059" s="6"/>
      <c r="AA1059" s="61"/>
    </row>
    <row r="1060" spans="1:27" ht="13.5">
      <c r="A1060" s="6" t="s">
        <v>1906</v>
      </c>
      <c r="B1060">
        <v>6436341</v>
      </c>
      <c r="C1060">
        <v>6553600</v>
      </c>
      <c r="D1060" s="13">
        <f t="shared" si="21"/>
        <v>31.256229343484019</v>
      </c>
      <c r="E1060" s="61" t="s">
        <v>1931</v>
      </c>
      <c r="F1060" s="65">
        <v>207.858405855754</v>
      </c>
      <c r="G1060" s="59">
        <v>1746</v>
      </c>
      <c r="H1060" s="63">
        <v>1000111</v>
      </c>
      <c r="I1060" s="65">
        <v>-11.924559913321534</v>
      </c>
      <c r="J1060" s="6">
        <f>VLOOKUP($D1060,Sheet1!$A$5:$C$192,3,TRUE)</f>
        <v>6</v>
      </c>
      <c r="K1060" s="42" t="str">
        <f>VLOOKUP($D1060,Sheet1!$A$5:$C$192,2,TRUE)</f>
        <v>(|</v>
      </c>
      <c r="L1060" s="6">
        <f>FLOOR(VLOOKUP($D1060,Sheet1!$D$5:$F$192,3,TRUE),1)</f>
        <v>13</v>
      </c>
      <c r="M1060" s="42" t="str">
        <f>VLOOKUP($D1060,Sheet1!$D$5:$F$192,2,TRUE)</f>
        <v>|\</v>
      </c>
      <c r="N1060" s="23">
        <f>FLOOR(VLOOKUP($D1060,Sheet1!$G$5:$I$192,3,TRUE),1)</f>
        <v>16</v>
      </c>
      <c r="O1060" s="42" t="str">
        <f>VLOOKUP($D1060,Sheet1!$G$5:$I$192,2,TRUE)</f>
        <v>.(|</v>
      </c>
      <c r="P1060" s="23">
        <v>1</v>
      </c>
      <c r="Q1060" s="43" t="str">
        <f>VLOOKUP($D1060,Sheet1!$J$5:$L$192,2,TRUE)</f>
        <v>.(|</v>
      </c>
      <c r="R1060" s="23">
        <f>FLOOR(VLOOKUP($D1060,Sheet1!$M$5:$O$192,3,TRUE),1)</f>
        <v>64</v>
      </c>
      <c r="S1060" s="42" t="str">
        <f>VLOOKUP($D1060,Sheet1!$M$5:$O$192,2,TRUE)</f>
        <v>.(|</v>
      </c>
      <c r="T1060" s="117">
        <f>IF(ABS(D1060-VLOOKUP($D1060,Sheet1!$M$5:$T$192,8,TRUE))&lt;10^-10,"SoCA",D1060-VLOOKUP($D1060,Sheet1!$M$5:$T$192,8,TRUE))</f>
        <v>6.1979103950687175E-2</v>
      </c>
      <c r="U1060" s="109" t="str">
        <f>IF(VLOOKUP($D1060,Sheet1!$M$5:$U$192,9,TRUE)=0,"",IF(ABS(D1060-VLOOKUP($D1060,Sheet1!$M$5:$U$192,9,TRUE))&lt;10^-10,"Alt.",D1060-VLOOKUP($D1060,Sheet1!$M$5:$U$192,9,TRUE)))</f>
        <v/>
      </c>
      <c r="V1060" s="132">
        <f>$D1060-Sheet1!$M$3*$R1060</f>
        <v>2.9446563683318772E-2</v>
      </c>
      <c r="Z1060" s="6"/>
      <c r="AA1060" s="61"/>
    </row>
    <row r="1061" spans="1:27" ht="13.5">
      <c r="A1061" s="6" t="s">
        <v>1860</v>
      </c>
      <c r="B1061">
        <v>12301875</v>
      </c>
      <c r="C1061">
        <v>12525568</v>
      </c>
      <c r="D1061" s="13">
        <f t="shared" si="21"/>
        <v>31.197366385139429</v>
      </c>
      <c r="E1061" s="61" t="s">
        <v>1931</v>
      </c>
      <c r="F1061" s="65">
        <v>272.84542435055164</v>
      </c>
      <c r="G1061" s="59">
        <v>1694</v>
      </c>
      <c r="H1061" s="63">
        <v>1000065</v>
      </c>
      <c r="I1061" s="65">
        <v>-10.920935506526824</v>
      </c>
      <c r="J1061" s="6">
        <f>VLOOKUP($D1061,Sheet1!$A$5:$C$192,3,TRUE)</f>
        <v>6</v>
      </c>
      <c r="K1061" s="42" t="str">
        <f>VLOOKUP($D1061,Sheet1!$A$5:$C$192,2,TRUE)</f>
        <v>(|</v>
      </c>
      <c r="L1061" s="6">
        <f>FLOOR(VLOOKUP($D1061,Sheet1!$D$5:$F$192,3,TRUE),1)</f>
        <v>13</v>
      </c>
      <c r="M1061" s="42" t="str">
        <f>VLOOKUP($D1061,Sheet1!$D$5:$F$192,2,TRUE)</f>
        <v>|\</v>
      </c>
      <c r="N1061" s="23">
        <f>FLOOR(VLOOKUP($D1061,Sheet1!$G$5:$I$192,3,TRUE),1)</f>
        <v>16</v>
      </c>
      <c r="O1061" s="42" t="str">
        <f>VLOOKUP($D1061,Sheet1!$G$5:$I$192,2,TRUE)</f>
        <v>.(|</v>
      </c>
      <c r="P1061" s="23">
        <v>1</v>
      </c>
      <c r="Q1061" s="43" t="str">
        <f>VLOOKUP($D1061,Sheet1!$J$5:$L$192,2,TRUE)</f>
        <v>.(|</v>
      </c>
      <c r="R1061" s="23">
        <f>FLOOR(VLOOKUP($D1061,Sheet1!$M$5:$O$192,3,TRUE),1)</f>
        <v>64</v>
      </c>
      <c r="S1061" s="42" t="str">
        <f>VLOOKUP($D1061,Sheet1!$M$5:$O$192,2,TRUE)</f>
        <v>.(|</v>
      </c>
      <c r="T1061" s="117">
        <f>IF(ABS(D1061-VLOOKUP($D1061,Sheet1!$M$5:$T$192,8,TRUE))&lt;10^-10,"SoCA",D1061-VLOOKUP($D1061,Sheet1!$M$5:$T$192,8,TRUE))</f>
        <v>3.1161456060964099E-3</v>
      </c>
      <c r="U1061" s="109" t="str">
        <f>IF(VLOOKUP($D1061,Sheet1!$M$5:$U$192,9,TRUE)=0,"",IF(ABS(D1061-VLOOKUP($D1061,Sheet1!$M$5:$U$192,9,TRUE))&lt;10^-10,"Alt.",D1061-VLOOKUP($D1061,Sheet1!$M$5:$U$192,9,TRUE)))</f>
        <v/>
      </c>
      <c r="V1061" s="132">
        <f>$D1061-Sheet1!$M$3*$R1061</f>
        <v>-2.9416394661271994E-2</v>
      </c>
      <c r="Z1061" s="6"/>
      <c r="AA1061" s="61"/>
    </row>
    <row r="1062" spans="1:27" ht="13.5">
      <c r="A1062" s="6" t="s">
        <v>1910</v>
      </c>
      <c r="B1062">
        <v>1476225</v>
      </c>
      <c r="C1062">
        <v>1503232</v>
      </c>
      <c r="D1062" s="13">
        <f t="shared" si="21"/>
        <v>31.386067028311462</v>
      </c>
      <c r="E1062" s="61" t="s">
        <v>1931</v>
      </c>
      <c r="F1062" s="65">
        <v>533.30128421422648</v>
      </c>
      <c r="G1062" s="59">
        <v>1750</v>
      </c>
      <c r="H1062" s="63">
        <v>1000115</v>
      </c>
      <c r="I1062" s="65">
        <v>-11.932554492600799</v>
      </c>
      <c r="J1062" s="6">
        <f>VLOOKUP($D1062,Sheet1!$A$5:$C$192,3,TRUE)</f>
        <v>6</v>
      </c>
      <c r="K1062" s="42" t="str">
        <f>VLOOKUP($D1062,Sheet1!$A$5:$C$192,2,TRUE)</f>
        <v>(|</v>
      </c>
      <c r="L1062" s="6">
        <f>FLOOR(VLOOKUP($D1062,Sheet1!$D$5:$F$192,3,TRUE),1)</f>
        <v>13</v>
      </c>
      <c r="M1062" s="42" t="str">
        <f>VLOOKUP($D1062,Sheet1!$D$5:$F$192,2,TRUE)</f>
        <v>|\</v>
      </c>
      <c r="N1062" s="23">
        <f>FLOOR(VLOOKUP($D1062,Sheet1!$G$5:$I$192,3,TRUE),1)</f>
        <v>16</v>
      </c>
      <c r="O1062" s="42" t="str">
        <f>VLOOKUP($D1062,Sheet1!$G$5:$I$192,2,TRUE)</f>
        <v>.(|</v>
      </c>
      <c r="P1062" s="23">
        <v>1</v>
      </c>
      <c r="Q1062" s="43" t="str">
        <f>VLOOKUP($D1062,Sheet1!$J$5:$L$192,2,TRUE)</f>
        <v>.(|</v>
      </c>
      <c r="R1062" s="23">
        <f>FLOOR(VLOOKUP($D1062,Sheet1!$M$5:$O$192,3,TRUE),1)</f>
        <v>64</v>
      </c>
      <c r="S1062" s="42" t="str">
        <f>VLOOKUP($D1062,Sheet1!$M$5:$O$192,2,TRUE)</f>
        <v>.(|</v>
      </c>
      <c r="T1062" s="117">
        <f>IF(ABS(D1062-VLOOKUP($D1062,Sheet1!$M$5:$T$192,8,TRUE))&lt;10^-10,"SoCA",D1062-VLOOKUP($D1062,Sheet1!$M$5:$T$192,8,TRUE))</f>
        <v>0.19181678877813013</v>
      </c>
      <c r="U1062" s="109" t="str">
        <f>IF(VLOOKUP($D1062,Sheet1!$M$5:$U$192,9,TRUE)=0,"",IF(ABS(D1062-VLOOKUP($D1062,Sheet1!$M$5:$U$192,9,TRUE))&lt;10^-10,"Alt.",D1062-VLOOKUP($D1062,Sheet1!$M$5:$U$192,9,TRUE)))</f>
        <v/>
      </c>
      <c r="V1062" s="132">
        <f>$D1062-Sheet1!$M$3*$R1062</f>
        <v>0.15928424851076173</v>
      </c>
      <c r="Z1062" s="6"/>
      <c r="AA1062" s="61"/>
    </row>
    <row r="1063" spans="1:27" ht="13.5">
      <c r="A1063" t="s">
        <v>1121</v>
      </c>
      <c r="B1063">
        <v>5013</v>
      </c>
      <c r="C1063">
        <v>5104</v>
      </c>
      <c r="D1063" s="13">
        <f t="shared" si="21"/>
        <v>31.144913979030211</v>
      </c>
      <c r="E1063" s="61" t="s">
        <v>1931</v>
      </c>
      <c r="F1063" s="65">
        <v>716.7376208603647</v>
      </c>
      <c r="G1063" s="6">
        <v>1031</v>
      </c>
      <c r="H1063" s="6">
        <v>970</v>
      </c>
      <c r="I1063" s="65">
        <v>-3.9177058207881608</v>
      </c>
      <c r="J1063" s="6">
        <f>VLOOKUP($D1063,Sheet1!$A$5:$C$192,3,TRUE)</f>
        <v>6</v>
      </c>
      <c r="K1063" s="42" t="str">
        <f>VLOOKUP($D1063,Sheet1!$A$5:$C$192,2,TRUE)</f>
        <v>(|</v>
      </c>
      <c r="L1063" s="6">
        <f>FLOOR(VLOOKUP($D1063,Sheet1!$D$5:$F$192,3,TRUE),1)</f>
        <v>13</v>
      </c>
      <c r="M1063" s="42" t="str">
        <f>VLOOKUP($D1063,Sheet1!$D$5:$F$192,2,TRUE)</f>
        <v>|\</v>
      </c>
      <c r="N1063" s="23">
        <f>FLOOR(VLOOKUP($D1063,Sheet1!$G$5:$I$192,3,TRUE),1)</f>
        <v>16</v>
      </c>
      <c r="O1063" s="42" t="str">
        <f>VLOOKUP($D1063,Sheet1!$G$5:$I$192,2,TRUE)</f>
        <v>.(|</v>
      </c>
      <c r="P1063" s="23">
        <v>1</v>
      </c>
      <c r="Q1063" s="43" t="str">
        <f>VLOOKUP($D1063,Sheet1!$J$5:$L$192,2,TRUE)</f>
        <v>.(|</v>
      </c>
      <c r="R1063" s="23">
        <f>FLOOR(VLOOKUP($D1063,Sheet1!$M$5:$O$192,3,TRUE),1)</f>
        <v>64</v>
      </c>
      <c r="S1063" s="42" t="str">
        <f>VLOOKUP($D1063,Sheet1!$M$5:$O$192,2,TRUE)</f>
        <v>.(|</v>
      </c>
      <c r="T1063" s="117">
        <f>IF(ABS(D1063-VLOOKUP($D1063,Sheet1!$M$5:$T$192,8,TRUE))&lt;10^-10,"SoCA",D1063-VLOOKUP($D1063,Sheet1!$M$5:$T$192,8,TRUE))</f>
        <v>-4.9336260503121565E-2</v>
      </c>
      <c r="U1063" s="109" t="str">
        <f>IF(VLOOKUP($D1063,Sheet1!$M$5:$U$192,9,TRUE)=0,"",IF(ABS(D1063-VLOOKUP($D1063,Sheet1!$M$5:$U$192,9,TRUE))&lt;10^-10,"Alt.",D1063-VLOOKUP($D1063,Sheet1!$M$5:$U$192,9,TRUE)))</f>
        <v/>
      </c>
      <c r="V1063" s="132">
        <f>$D1063-Sheet1!$M$3*$R1063</f>
        <v>-8.1868800770489969E-2</v>
      </c>
      <c r="Z1063" s="6"/>
      <c r="AA1063" s="61"/>
    </row>
    <row r="1064" spans="1:27" ht="13.5">
      <c r="A1064" t="s">
        <v>1623</v>
      </c>
      <c r="B1064">
        <v>1366875</v>
      </c>
      <c r="C1064">
        <v>1391872</v>
      </c>
      <c r="D1064" s="13">
        <f t="shared" si="21"/>
        <v>31.374273840670604</v>
      </c>
      <c r="E1064" s="61" t="s">
        <v>1931</v>
      </c>
      <c r="F1064" s="65">
        <v>8745.8500086185322</v>
      </c>
      <c r="G1064" s="6">
        <v>1529</v>
      </c>
      <c r="H1064" s="6">
        <v>1472</v>
      </c>
      <c r="I1064" s="65">
        <v>-8.93182834307283</v>
      </c>
      <c r="J1064" s="6">
        <f>VLOOKUP($D1064,Sheet1!$A$5:$C$192,3,TRUE)</f>
        <v>6</v>
      </c>
      <c r="K1064" s="42" t="str">
        <f>VLOOKUP($D1064,Sheet1!$A$5:$C$192,2,TRUE)</f>
        <v>(|</v>
      </c>
      <c r="L1064" s="6">
        <f>FLOOR(VLOOKUP($D1064,Sheet1!$D$5:$F$192,3,TRUE),1)</f>
        <v>13</v>
      </c>
      <c r="M1064" s="42" t="str">
        <f>VLOOKUP($D1064,Sheet1!$D$5:$F$192,2,TRUE)</f>
        <v>|\</v>
      </c>
      <c r="N1064" s="23">
        <f>FLOOR(VLOOKUP($D1064,Sheet1!$G$5:$I$192,3,TRUE),1)</f>
        <v>16</v>
      </c>
      <c r="O1064" s="42" t="str">
        <f>VLOOKUP($D1064,Sheet1!$G$5:$I$192,2,TRUE)</f>
        <v>.(|</v>
      </c>
      <c r="P1064" s="23">
        <v>1</v>
      </c>
      <c r="Q1064" s="43" t="str">
        <f>VLOOKUP($D1064,Sheet1!$J$5:$L$192,2,TRUE)</f>
        <v>.(|</v>
      </c>
      <c r="R1064" s="23">
        <f>FLOOR(VLOOKUP($D1064,Sheet1!$M$5:$O$192,3,TRUE),1)</f>
        <v>64</v>
      </c>
      <c r="S1064" s="42" t="str">
        <f>VLOOKUP($D1064,Sheet1!$M$5:$O$192,2,TRUE)</f>
        <v>.(|</v>
      </c>
      <c r="T1064" s="117">
        <f>IF(ABS(D1064-VLOOKUP($D1064,Sheet1!$M$5:$T$192,8,TRUE))&lt;10^-10,"SoCA",D1064-VLOOKUP($D1064,Sheet1!$M$5:$T$192,8,TRUE))</f>
        <v>0.18002360113727178</v>
      </c>
      <c r="U1064" s="109" t="str">
        <f>IF(VLOOKUP($D1064,Sheet1!$M$5:$U$192,9,TRUE)=0,"",IF(ABS(D1064-VLOOKUP($D1064,Sheet1!$M$5:$U$192,9,TRUE))&lt;10^-10,"Alt.",D1064-VLOOKUP($D1064,Sheet1!$M$5:$U$192,9,TRUE)))</f>
        <v/>
      </c>
      <c r="V1064" s="132">
        <f>$D1064-Sheet1!$M$3*$R1064</f>
        <v>0.14749106086990338</v>
      </c>
      <c r="Z1064" s="6"/>
      <c r="AA1064" s="61"/>
    </row>
    <row r="1065" spans="1:27" ht="13.5">
      <c r="A1065" s="33" t="s">
        <v>127</v>
      </c>
      <c r="B1065" s="33">
        <f>2*3^3</f>
        <v>54</v>
      </c>
      <c r="C1065" s="33">
        <f>5*11</f>
        <v>55</v>
      </c>
      <c r="D1065" s="13">
        <f t="shared" si="21"/>
        <v>31.766653633429414</v>
      </c>
      <c r="E1065" s="61">
        <v>11</v>
      </c>
      <c r="F1065" s="65">
        <v>22.71166803453654</v>
      </c>
      <c r="G1065" s="6">
        <v>41</v>
      </c>
      <c r="H1065" s="6">
        <v>42</v>
      </c>
      <c r="I1065" s="65">
        <v>-4.9559885964304033</v>
      </c>
      <c r="J1065" s="6">
        <f>VLOOKUP($D1065,Sheet1!$A$5:$C$192,3,TRUE)</f>
        <v>6</v>
      </c>
      <c r="K1065" s="42" t="str">
        <f>VLOOKUP($D1065,Sheet1!$A$5:$C$192,2,TRUE)</f>
        <v>(|</v>
      </c>
      <c r="L1065" s="34">
        <f>FLOOR(VLOOKUP($D1065,Sheet1!$D$5:$F$192,3,TRUE),1)</f>
        <v>13</v>
      </c>
      <c r="M1065" s="41" t="str">
        <f>VLOOKUP($D1065,Sheet1!$D$5:$F$192,2,TRUE)</f>
        <v>|\</v>
      </c>
      <c r="N1065" s="34">
        <f>FLOOR(VLOOKUP($D1065,Sheet1!$G$5:$I$192,3,TRUE),1)</f>
        <v>16</v>
      </c>
      <c r="O1065" s="41" t="str">
        <f>VLOOKUP($D1065,Sheet1!$G$5:$I$192,2,TRUE)</f>
        <v>|\</v>
      </c>
      <c r="P1065" s="34">
        <v>1</v>
      </c>
      <c r="Q1065" s="41" t="str">
        <f>VLOOKUP($D1065,Sheet1!$J$5:$L$192,2,TRUE)</f>
        <v>|\</v>
      </c>
      <c r="R1065" s="34">
        <f>FLOOR(VLOOKUP($D1065,Sheet1!$M$5:$O$192,3,TRUE),1)</f>
        <v>65</v>
      </c>
      <c r="S1065" s="41" t="str">
        <f>VLOOKUP($D1065,Sheet1!$M$5:$O$192,2,TRUE)</f>
        <v>|\</v>
      </c>
      <c r="T1065" s="114" t="str">
        <f>IF(ABS(D1065-VLOOKUP($D1065,Sheet1!$M$5:$T$192,8,TRUE))&lt;10^-10,"SoCA",D1065-VLOOKUP($D1065,Sheet1!$M$5:$T$192,8,TRUE))</f>
        <v>SoCA</v>
      </c>
      <c r="U1065" s="126" t="str">
        <f>IF(VLOOKUP($D1065,Sheet1!$M$5:$U$192,9,TRUE)=0,"",IF(ABS(D1065-VLOOKUP($D1065,Sheet1!$M$5:$U$192,9,TRUE))&lt;10^-10,"Alt.",D1065-VLOOKUP($D1065,Sheet1!$M$5:$U$192,9,TRUE)))</f>
        <v/>
      </c>
      <c r="V1065" s="137">
        <f>$D1065-Sheet1!$M$3*$R1065</f>
        <v>5.1952372694326954E-2</v>
      </c>
      <c r="Z1065" s="6"/>
      <c r="AA1065" s="61"/>
    </row>
    <row r="1066" spans="1:27" ht="13.5">
      <c r="A1066" s="6" t="s">
        <v>342</v>
      </c>
      <c r="B1066" s="6">
        <f>3^6*5</f>
        <v>3645</v>
      </c>
      <c r="C1066" s="6">
        <f>2^7*29</f>
        <v>3712</v>
      </c>
      <c r="D1066" s="13">
        <f t="shared" si="21"/>
        <v>31.533475095927219</v>
      </c>
      <c r="E1066" s="61">
        <v>29</v>
      </c>
      <c r="F1066" s="65">
        <v>37.066940717392477</v>
      </c>
      <c r="G1066" s="6">
        <v>161</v>
      </c>
      <c r="H1066" s="6">
        <v>176</v>
      </c>
      <c r="I1066" s="65">
        <v>-7.94163094436073</v>
      </c>
      <c r="J1066" s="6">
        <f>VLOOKUP($D1066,Sheet1!$A$5:$C$192,3,TRUE)</f>
        <v>6</v>
      </c>
      <c r="K1066" s="42" t="str">
        <f>VLOOKUP($D1066,Sheet1!$A$5:$C$192,2,TRUE)</f>
        <v>(|</v>
      </c>
      <c r="L1066" s="6">
        <f>FLOOR(VLOOKUP($D1066,Sheet1!$D$5:$F$192,3,TRUE),1)</f>
        <v>13</v>
      </c>
      <c r="M1066" s="42" t="str">
        <f>VLOOKUP($D1066,Sheet1!$D$5:$F$192,2,TRUE)</f>
        <v>|\</v>
      </c>
      <c r="N1066" s="23">
        <f>FLOOR(VLOOKUP($D1066,Sheet1!$G$5:$I$192,3,TRUE),1)</f>
        <v>16</v>
      </c>
      <c r="O1066" s="42" t="str">
        <f>VLOOKUP($D1066,Sheet1!$G$5:$I$192,2,TRUE)</f>
        <v>|\</v>
      </c>
      <c r="P1066" s="23">
        <v>1</v>
      </c>
      <c r="Q1066" s="43" t="str">
        <f>VLOOKUP($D1066,Sheet1!$J$5:$L$192,2,TRUE)</f>
        <v>|\</v>
      </c>
      <c r="R1066" s="23">
        <f>FLOOR(VLOOKUP($D1066,Sheet1!$M$5:$O$192,3,TRUE),1)</f>
        <v>65</v>
      </c>
      <c r="S1066" s="42" t="str">
        <f>VLOOKUP($D1066,Sheet1!$M$5:$O$192,2,TRUE)</f>
        <v>.(|'</v>
      </c>
      <c r="T1066" s="117">
        <f>IF(ABS(D1066-VLOOKUP($D1066,Sheet1!$M$5:$T$192,8,TRUE))&lt;10^-10,"SoCA",D1066-VLOOKUP($D1066,Sheet1!$M$5:$T$192,8,TRUE))</f>
        <v>-8.349130956093731E-2</v>
      </c>
      <c r="U1066" s="109">
        <f>IF(VLOOKUP($D1066,Sheet1!$M$5:$U$192,9,TRUE)=0,"",IF(ABS(D1066-VLOOKUP($D1066,Sheet1!$M$5:$U$192,9,TRUE))&lt;10^-10,"Alt.",D1066-VLOOKUP($D1066,Sheet1!$M$5:$U$192,9,TRUE)))</f>
        <v>-5.6531014358501608E-2</v>
      </c>
      <c r="V1066" s="132">
        <f>$D1066-Sheet1!$M$3*$R1066</f>
        <v>-0.18122616480786746</v>
      </c>
      <c r="Z1066" s="6"/>
      <c r="AA1066" s="61"/>
    </row>
    <row r="1067" spans="1:27" ht="13.5">
      <c r="A1067" t="s">
        <v>578</v>
      </c>
      <c r="B1067">
        <v>4480</v>
      </c>
      <c r="C1067">
        <v>4563</v>
      </c>
      <c r="D1067" s="13">
        <f t="shared" si="21"/>
        <v>31.780705800823633</v>
      </c>
      <c r="E1067" s="61">
        <v>13</v>
      </c>
      <c r="F1067" s="65">
        <v>38.102510515833337</v>
      </c>
      <c r="G1067" s="6">
        <v>458</v>
      </c>
      <c r="H1067" s="6">
        <v>423</v>
      </c>
      <c r="I1067" s="65">
        <v>1.0431461604283012</v>
      </c>
      <c r="J1067" s="6">
        <f>VLOOKUP($D1067,Sheet1!$A$5:$C$192,3,TRUE)</f>
        <v>6</v>
      </c>
      <c r="K1067" s="42" t="str">
        <f>VLOOKUP($D1067,Sheet1!$A$5:$C$192,2,TRUE)</f>
        <v>(|</v>
      </c>
      <c r="L1067" s="6">
        <f>FLOOR(VLOOKUP($D1067,Sheet1!$D$5:$F$192,3,TRUE),1)</f>
        <v>13</v>
      </c>
      <c r="M1067" s="42" t="str">
        <f>VLOOKUP($D1067,Sheet1!$D$5:$F$192,2,TRUE)</f>
        <v>|\</v>
      </c>
      <c r="N1067" s="23">
        <f>FLOOR(VLOOKUP($D1067,Sheet1!$G$5:$I$192,3,TRUE),1)</f>
        <v>16</v>
      </c>
      <c r="O1067" s="42" t="str">
        <f>VLOOKUP($D1067,Sheet1!$G$5:$I$192,2,TRUE)</f>
        <v>|\</v>
      </c>
      <c r="P1067" s="23">
        <v>1</v>
      </c>
      <c r="Q1067" s="43" t="str">
        <f>VLOOKUP($D1067,Sheet1!$J$5:$L$192,2,TRUE)</f>
        <v>|\</v>
      </c>
      <c r="R1067" s="23">
        <f>FLOOR(VLOOKUP($D1067,Sheet1!$M$5:$O$192,3,TRUE),1)</f>
        <v>65</v>
      </c>
      <c r="S1067" s="42" t="str">
        <f>VLOOKUP($D1067,Sheet1!$M$5:$O$192,2,TRUE)</f>
        <v>|\</v>
      </c>
      <c r="T1067" s="117">
        <f>IF(ABS(D1067-VLOOKUP($D1067,Sheet1!$M$5:$T$192,8,TRUE))&lt;10^-10,"SoCA",D1067-VLOOKUP($D1067,Sheet1!$M$5:$T$192,8,TRUE))</f>
        <v>1.4052167394218884E-2</v>
      </c>
      <c r="U1067" s="109" t="str">
        <f>IF(VLOOKUP($D1067,Sheet1!$M$5:$U$192,9,TRUE)=0,"",IF(ABS(D1067-VLOOKUP($D1067,Sheet1!$M$5:$U$192,9,TRUE))&lt;10^-10,"Alt.",D1067-VLOOKUP($D1067,Sheet1!$M$5:$U$192,9,TRUE)))</f>
        <v/>
      </c>
      <c r="V1067" s="132">
        <f>$D1067-Sheet1!$M$3*$R1067</f>
        <v>6.6004540088545838E-2</v>
      </c>
      <c r="Z1067" s="6"/>
      <c r="AA1067" s="61"/>
    </row>
    <row r="1068" spans="1:27" ht="13.5">
      <c r="A1068" s="6" t="s">
        <v>349</v>
      </c>
      <c r="B1068" s="6">
        <f>2^15*23</f>
        <v>753664</v>
      </c>
      <c r="C1068" s="6">
        <f>3^10*13</f>
        <v>767637</v>
      </c>
      <c r="D1068" s="13">
        <f t="shared" si="21"/>
        <v>31.803323154769195</v>
      </c>
      <c r="E1068" s="61">
        <v>23</v>
      </c>
      <c r="F1068" s="65">
        <v>48.936338704149357</v>
      </c>
      <c r="G1068" s="6">
        <v>166</v>
      </c>
      <c r="H1068" s="6">
        <v>183</v>
      </c>
      <c r="I1068" s="65">
        <v>8.0417535275463656</v>
      </c>
      <c r="J1068" s="6">
        <f>VLOOKUP($D1068,Sheet1!$A$5:$C$192,3,TRUE)</f>
        <v>6</v>
      </c>
      <c r="K1068" s="42" t="str">
        <f>VLOOKUP($D1068,Sheet1!$A$5:$C$192,2,TRUE)</f>
        <v>(|</v>
      </c>
      <c r="L1068" s="6">
        <f>FLOOR(VLOOKUP($D1068,Sheet1!$D$5:$F$192,3,TRUE),1)</f>
        <v>13</v>
      </c>
      <c r="M1068" s="42" t="str">
        <f>VLOOKUP($D1068,Sheet1!$D$5:$F$192,2,TRUE)</f>
        <v>|\</v>
      </c>
      <c r="N1068" s="23">
        <f>FLOOR(VLOOKUP($D1068,Sheet1!$G$5:$I$192,3,TRUE),1)</f>
        <v>16</v>
      </c>
      <c r="O1068" s="42" t="str">
        <f>VLOOKUP($D1068,Sheet1!$G$5:$I$192,2,TRUE)</f>
        <v>|\</v>
      </c>
      <c r="P1068" s="23">
        <v>1</v>
      </c>
      <c r="Q1068" s="43" t="str">
        <f>VLOOKUP($D1068,Sheet1!$J$5:$L$192,2,TRUE)</f>
        <v>|\</v>
      </c>
      <c r="R1068" s="23">
        <f>FLOOR(VLOOKUP($D1068,Sheet1!$M$5:$O$192,3,TRUE),1)</f>
        <v>65</v>
      </c>
      <c r="S1068" s="42" t="str">
        <f>VLOOKUP($D1068,Sheet1!$M$5:$O$192,2,TRUE)</f>
        <v>|\</v>
      </c>
      <c r="T1068" s="117">
        <f>IF(ABS(D1068-VLOOKUP($D1068,Sheet1!$M$5:$T$192,8,TRUE))&lt;10^-10,"SoCA",D1068-VLOOKUP($D1068,Sheet1!$M$5:$T$192,8,TRUE))</f>
        <v>3.6669521339781852E-2</v>
      </c>
      <c r="U1068" s="109" t="str">
        <f>IF(VLOOKUP($D1068,Sheet1!$M$5:$U$192,9,TRUE)=0,"",IF(ABS(D1068-VLOOKUP($D1068,Sheet1!$M$5:$U$192,9,TRUE))&lt;10^-10,"Alt.",D1068-VLOOKUP($D1068,Sheet1!$M$5:$U$192,9,TRUE)))</f>
        <v/>
      </c>
      <c r="V1068" s="132">
        <f>$D1068-Sheet1!$M$3*$R1068</f>
        <v>8.8621894034108806E-2</v>
      </c>
      <c r="Z1068" s="6"/>
      <c r="AA1068" s="61"/>
    </row>
    <row r="1069" spans="1:27" ht="13.5">
      <c r="A1069" t="s">
        <v>1224</v>
      </c>
      <c r="B1069">
        <v>66560</v>
      </c>
      <c r="C1069">
        <v>67797</v>
      </c>
      <c r="D1069" s="13">
        <f t="shared" si="21"/>
        <v>31.879202887816781</v>
      </c>
      <c r="E1069" s="61">
        <v>31</v>
      </c>
      <c r="F1069" s="65">
        <v>60.546686078718594</v>
      </c>
      <c r="G1069" s="6">
        <v>1131</v>
      </c>
      <c r="H1069" s="6">
        <v>1073</v>
      </c>
      <c r="I1069" s="65">
        <v>5.0370813359377085</v>
      </c>
      <c r="J1069" s="6">
        <f>VLOOKUP($D1069,Sheet1!$A$5:$C$192,3,TRUE)</f>
        <v>6</v>
      </c>
      <c r="K1069" s="42" t="str">
        <f>VLOOKUP($D1069,Sheet1!$A$5:$C$192,2,TRUE)</f>
        <v>(|</v>
      </c>
      <c r="L1069" s="6">
        <f>FLOOR(VLOOKUP($D1069,Sheet1!$D$5:$F$192,3,TRUE),1)</f>
        <v>13</v>
      </c>
      <c r="M1069" s="42" t="str">
        <f>VLOOKUP($D1069,Sheet1!$D$5:$F$192,2,TRUE)</f>
        <v>|\</v>
      </c>
      <c r="N1069" s="23">
        <f>FLOOR(VLOOKUP($D1069,Sheet1!$G$5:$I$192,3,TRUE),1)</f>
        <v>16</v>
      </c>
      <c r="O1069" s="42" t="str">
        <f>VLOOKUP($D1069,Sheet1!$G$5:$I$192,2,TRUE)</f>
        <v>|\</v>
      </c>
      <c r="P1069" s="23">
        <v>1</v>
      </c>
      <c r="Q1069" s="43" t="str">
        <f>VLOOKUP($D1069,Sheet1!$J$5:$L$192,2,TRUE)</f>
        <v>|\</v>
      </c>
      <c r="R1069" s="23">
        <f>FLOOR(VLOOKUP($D1069,Sheet1!$M$5:$O$192,3,TRUE),1)</f>
        <v>65</v>
      </c>
      <c r="S1069" s="42" t="str">
        <f>VLOOKUP($D1069,Sheet1!$M$5:$O$192,2,TRUE)</f>
        <v>|\</v>
      </c>
      <c r="T1069" s="117">
        <f>IF(ABS(D1069-VLOOKUP($D1069,Sheet1!$M$5:$T$192,8,TRUE))&lt;10^-10,"SoCA",D1069-VLOOKUP($D1069,Sheet1!$M$5:$T$192,8,TRUE))</f>
        <v>0.11254925438736763</v>
      </c>
      <c r="U1069" s="109" t="str">
        <f>IF(VLOOKUP($D1069,Sheet1!$M$5:$U$192,9,TRUE)=0,"",IF(ABS(D1069-VLOOKUP($D1069,Sheet1!$M$5:$U$192,9,TRUE))&lt;10^-10,"Alt.",D1069-VLOOKUP($D1069,Sheet1!$M$5:$U$192,9,TRUE)))</f>
        <v/>
      </c>
      <c r="V1069" s="132">
        <f>$D1069-Sheet1!$M$3*$R1069</f>
        <v>0.16450162708169458</v>
      </c>
      <c r="Z1069" s="6"/>
      <c r="AA1069" s="61"/>
    </row>
    <row r="1070" spans="1:27" ht="13.5">
      <c r="A1070" t="s">
        <v>1360</v>
      </c>
      <c r="B1070">
        <v>124659</v>
      </c>
      <c r="C1070">
        <v>126976</v>
      </c>
      <c r="D1070" s="13">
        <f t="shared" si="21"/>
        <v>31.882549408848266</v>
      </c>
      <c r="E1070" s="61">
        <v>31</v>
      </c>
      <c r="F1070" s="65">
        <v>63.687722362336316</v>
      </c>
      <c r="G1070" s="6">
        <v>621</v>
      </c>
      <c r="H1070" s="6">
        <v>1209</v>
      </c>
      <c r="I1070" s="65">
        <v>-9.9631247215542409</v>
      </c>
      <c r="J1070" s="6">
        <f>VLOOKUP($D1070,Sheet1!$A$5:$C$192,3,TRUE)</f>
        <v>6</v>
      </c>
      <c r="K1070" s="42" t="str">
        <f>VLOOKUP($D1070,Sheet1!$A$5:$C$192,2,TRUE)</f>
        <v>(|</v>
      </c>
      <c r="L1070" s="6">
        <f>FLOOR(VLOOKUP($D1070,Sheet1!$D$5:$F$192,3,TRUE),1)</f>
        <v>13</v>
      </c>
      <c r="M1070" s="42" t="str">
        <f>VLOOKUP($D1070,Sheet1!$D$5:$F$192,2,TRUE)</f>
        <v>|\</v>
      </c>
      <c r="N1070" s="23">
        <f>FLOOR(VLOOKUP($D1070,Sheet1!$G$5:$I$192,3,TRUE),1)</f>
        <v>16</v>
      </c>
      <c r="O1070" s="42" t="str">
        <f>VLOOKUP($D1070,Sheet1!$G$5:$I$192,2,TRUE)</f>
        <v>|\</v>
      </c>
      <c r="P1070" s="23">
        <v>1</v>
      </c>
      <c r="Q1070" s="43" t="str">
        <f>VLOOKUP($D1070,Sheet1!$J$5:$L$192,2,TRUE)</f>
        <v>|\</v>
      </c>
      <c r="R1070" s="23">
        <f>FLOOR(VLOOKUP($D1070,Sheet1!$M$5:$O$192,3,TRUE),1)</f>
        <v>65</v>
      </c>
      <c r="S1070" s="42" t="str">
        <f>VLOOKUP($D1070,Sheet1!$M$5:$O$192,2,TRUE)</f>
        <v>|\</v>
      </c>
      <c r="T1070" s="117">
        <f>IF(ABS(D1070-VLOOKUP($D1070,Sheet1!$M$5:$T$192,8,TRUE))&lt;10^-10,"SoCA",D1070-VLOOKUP($D1070,Sheet1!$M$5:$T$192,8,TRUE))</f>
        <v>0.11589577541885276</v>
      </c>
      <c r="U1070" s="109" t="str">
        <f>IF(VLOOKUP($D1070,Sheet1!$M$5:$U$192,9,TRUE)=0,"",IF(ABS(D1070-VLOOKUP($D1070,Sheet1!$M$5:$U$192,9,TRUE))&lt;10^-10,"Alt.",D1070-VLOOKUP($D1070,Sheet1!$M$5:$U$192,9,TRUE)))</f>
        <v/>
      </c>
      <c r="V1070" s="132">
        <f>$D1070-Sheet1!$M$3*$R1070</f>
        <v>0.16784814811317972</v>
      </c>
      <c r="Z1070" s="6"/>
      <c r="AA1070" s="61"/>
    </row>
    <row r="1071" spans="1:27" ht="13.5">
      <c r="A1071" s="6" t="s">
        <v>1837</v>
      </c>
      <c r="B1071">
        <v>1673055</v>
      </c>
      <c r="C1071">
        <v>1703936</v>
      </c>
      <c r="D1071" s="13">
        <f t="shared" si="21"/>
        <v>31.663530615581717</v>
      </c>
      <c r="E1071" s="61">
        <v>17</v>
      </c>
      <c r="F1071" s="65">
        <v>66.832308643493292</v>
      </c>
      <c r="G1071" s="59">
        <v>1634</v>
      </c>
      <c r="H1071" s="63">
        <v>1000042</v>
      </c>
      <c r="I1071" s="65">
        <v>-10.949638936523913</v>
      </c>
      <c r="J1071" s="6">
        <f>VLOOKUP($D1071,Sheet1!$A$5:$C$192,3,TRUE)</f>
        <v>6</v>
      </c>
      <c r="K1071" s="42" t="str">
        <f>VLOOKUP($D1071,Sheet1!$A$5:$C$192,2,TRUE)</f>
        <v>(|</v>
      </c>
      <c r="L1071" s="6">
        <f>FLOOR(VLOOKUP($D1071,Sheet1!$D$5:$F$192,3,TRUE),1)</f>
        <v>13</v>
      </c>
      <c r="M1071" s="42" t="str">
        <f>VLOOKUP($D1071,Sheet1!$D$5:$F$192,2,TRUE)</f>
        <v>|\</v>
      </c>
      <c r="N1071" s="23">
        <f>FLOOR(VLOOKUP($D1071,Sheet1!$G$5:$I$192,3,TRUE),1)</f>
        <v>16</v>
      </c>
      <c r="O1071" s="42" t="str">
        <f>VLOOKUP($D1071,Sheet1!$G$5:$I$192,2,TRUE)</f>
        <v>|\</v>
      </c>
      <c r="P1071" s="23">
        <v>1</v>
      </c>
      <c r="Q1071" s="43" t="str">
        <f>VLOOKUP($D1071,Sheet1!$J$5:$L$192,2,TRUE)</f>
        <v>|\</v>
      </c>
      <c r="R1071" s="23">
        <f>FLOOR(VLOOKUP($D1071,Sheet1!$M$5:$O$192,3,TRUE),1)</f>
        <v>65</v>
      </c>
      <c r="S1071" s="42" t="str">
        <f>VLOOKUP($D1071,Sheet1!$M$5:$O$192,2,TRUE)</f>
        <v>.(|'</v>
      </c>
      <c r="T1071" s="117">
        <f>IF(ABS(D1071-VLOOKUP($D1071,Sheet1!$M$5:$T$192,8,TRUE))&lt;10^-10,"SoCA",D1071-VLOOKUP($D1071,Sheet1!$M$5:$T$192,8,TRUE))</f>
        <v>4.6564210093560376E-2</v>
      </c>
      <c r="U1071" s="109">
        <f>IF(VLOOKUP($D1071,Sheet1!$M$5:$U$192,9,TRUE)=0,"",IF(ABS(D1071-VLOOKUP($D1071,Sheet1!$M$5:$U$192,9,TRUE))&lt;10^-10,"Alt.",D1071-VLOOKUP($D1071,Sheet1!$M$5:$U$192,9,TRUE)))</f>
        <v>7.3524505295996079E-2</v>
      </c>
      <c r="V1071" s="132">
        <f>$D1071-Sheet1!$M$3*$R1071</f>
        <v>-5.1170645153369776E-2</v>
      </c>
      <c r="Z1071" s="6"/>
      <c r="AA1071" s="61"/>
    </row>
    <row r="1072" spans="1:27" ht="13.5">
      <c r="A1072" s="40" t="s">
        <v>287</v>
      </c>
      <c r="B1072" s="49">
        <f>2^25</f>
        <v>33554432</v>
      </c>
      <c r="C1072" s="49">
        <f>3^7*5^6</f>
        <v>34171875</v>
      </c>
      <c r="D1072" s="13">
        <f t="shared" si="21"/>
        <v>31.567289246720829</v>
      </c>
      <c r="E1072" s="61">
        <v>5</v>
      </c>
      <c r="F1072" s="65">
        <v>67.543841100594904</v>
      </c>
      <c r="G1072" s="6">
        <v>119</v>
      </c>
      <c r="H1072" s="6">
        <v>111</v>
      </c>
      <c r="I1072" s="65">
        <v>5.0562869951832488</v>
      </c>
      <c r="J1072" s="6">
        <f>VLOOKUP($D1072,Sheet1!$A$5:$C$192,3,TRUE)</f>
        <v>6</v>
      </c>
      <c r="K1072" s="42" t="str">
        <f>VLOOKUP($D1072,Sheet1!$A$5:$C$192,2,TRUE)</f>
        <v>(|</v>
      </c>
      <c r="L1072" s="6">
        <f>FLOOR(VLOOKUP($D1072,Sheet1!$D$5:$F$192,3,TRUE),1)</f>
        <v>13</v>
      </c>
      <c r="M1072" s="42" t="str">
        <f>VLOOKUP($D1072,Sheet1!$D$5:$F$192,2,TRUE)</f>
        <v>|\</v>
      </c>
      <c r="N1072" s="23">
        <f>FLOOR(VLOOKUP($D1072,Sheet1!$G$5:$I$192,3,TRUE),1)</f>
        <v>16</v>
      </c>
      <c r="O1072" s="42" t="str">
        <f>VLOOKUP($D1072,Sheet1!$G$5:$I$192,2,TRUE)</f>
        <v>|\</v>
      </c>
      <c r="P1072" s="23">
        <v>1</v>
      </c>
      <c r="Q1072" s="43" t="str">
        <f>VLOOKUP($D1072,Sheet1!$J$5:$L$192,2,TRUE)</f>
        <v>|\</v>
      </c>
      <c r="R1072" s="40">
        <f>FLOOR(VLOOKUP($D1072,Sheet1!$M$5:$O$192,3,TRUE),1)</f>
        <v>65</v>
      </c>
      <c r="S1072" s="46" t="str">
        <f>VLOOKUP($D1072,Sheet1!$M$5:$O$192,2,TRUE)</f>
        <v>.(|'</v>
      </c>
      <c r="T1072" s="115">
        <f>IF(ABS(D1072-VLOOKUP($D1072,Sheet1!$M$5:$T$192,8,TRUE))&lt;10^-10,"SoCA",D1072-VLOOKUP($D1072,Sheet1!$M$5:$T$192,8,TRUE))</f>
        <v>-4.9677158767327256E-2</v>
      </c>
      <c r="U1072" s="115">
        <f>IF(VLOOKUP($D1072,Sheet1!$M$5:$U$192,9,TRUE)=0,"",IF(ABS(D1072-VLOOKUP($D1072,Sheet1!$M$5:$U$192,9,TRUE))&lt;10^-10,"Alt.",D1072-VLOOKUP($D1072,Sheet1!$M$5:$U$192,9,TRUE)))</f>
        <v>-2.2716863564891554E-2</v>
      </c>
      <c r="V1072" s="132">
        <f>$D1072-Sheet1!$M$3*$R1072</f>
        <v>-0.14741201401425741</v>
      </c>
      <c r="Z1072" s="6"/>
      <c r="AA1072" s="61"/>
    </row>
    <row r="1073" spans="1:27" ht="13.5">
      <c r="A1073" t="s">
        <v>1736</v>
      </c>
      <c r="B1073">
        <v>2609152</v>
      </c>
      <c r="C1073">
        <v>2657205</v>
      </c>
      <c r="D1073" s="13">
        <f t="shared" si="21"/>
        <v>31.594249541923435</v>
      </c>
      <c r="E1073" s="61">
        <v>13</v>
      </c>
      <c r="F1073" s="65">
        <v>95.055172643377404</v>
      </c>
      <c r="G1073" s="6">
        <v>1645</v>
      </c>
      <c r="H1073" s="6">
        <v>1585</v>
      </c>
      <c r="I1073" s="65">
        <v>10.054626951585922</v>
      </c>
      <c r="J1073" s="6">
        <f>VLOOKUP($D1073,Sheet1!$A$5:$C$192,3,TRUE)</f>
        <v>6</v>
      </c>
      <c r="K1073" s="42" t="str">
        <f>VLOOKUP($D1073,Sheet1!$A$5:$C$192,2,TRUE)</f>
        <v>(|</v>
      </c>
      <c r="L1073" s="6">
        <f>FLOOR(VLOOKUP($D1073,Sheet1!$D$5:$F$192,3,TRUE),1)</f>
        <v>13</v>
      </c>
      <c r="M1073" s="42" t="str">
        <f>VLOOKUP($D1073,Sheet1!$D$5:$F$192,2,TRUE)</f>
        <v>|\</v>
      </c>
      <c r="N1073" s="23">
        <f>FLOOR(VLOOKUP($D1073,Sheet1!$G$5:$I$192,3,TRUE),1)</f>
        <v>16</v>
      </c>
      <c r="O1073" s="42" t="str">
        <f>VLOOKUP($D1073,Sheet1!$G$5:$I$192,2,TRUE)</f>
        <v>|\</v>
      </c>
      <c r="P1073" s="23">
        <v>1</v>
      </c>
      <c r="Q1073" s="43" t="str">
        <f>VLOOKUP($D1073,Sheet1!$J$5:$L$192,2,TRUE)</f>
        <v>|\</v>
      </c>
      <c r="R1073" s="23">
        <f>FLOOR(VLOOKUP($D1073,Sheet1!$M$5:$O$192,3,TRUE),1)</f>
        <v>65</v>
      </c>
      <c r="S1073" s="42" t="str">
        <f>VLOOKUP($D1073,Sheet1!$M$5:$O$192,2,TRUE)</f>
        <v>.(|'</v>
      </c>
      <c r="T1073" s="117">
        <f>IF(ABS(D1073-VLOOKUP($D1073,Sheet1!$M$5:$T$192,8,TRUE))&lt;10^-10,"SoCA",D1073-VLOOKUP($D1073,Sheet1!$M$5:$T$192,8,TRUE))</f>
        <v>-2.2716863564721024E-2</v>
      </c>
      <c r="U1073" s="109">
        <f>IF(VLOOKUP($D1073,Sheet1!$M$5:$U$192,9,TRUE)=0,"",IF(ABS(D1073-VLOOKUP($D1073,Sheet1!$M$5:$U$192,9,TRUE))&lt;10^-10,"Alt.",D1073-VLOOKUP($D1073,Sheet1!$M$5:$U$192,9,TRUE)))</f>
        <v>4.2434316377146786E-3</v>
      </c>
      <c r="V1073" s="132">
        <f>$D1073-Sheet1!$M$3*$R1073</f>
        <v>-0.12045171881165118</v>
      </c>
      <c r="Z1073" s="6"/>
      <c r="AA1073" s="61"/>
    </row>
    <row r="1074" spans="1:27" ht="13.5">
      <c r="A1074" t="s">
        <v>1522</v>
      </c>
      <c r="B1074">
        <v>57970</v>
      </c>
      <c r="C1074">
        <v>59049</v>
      </c>
      <c r="D1074" s="13">
        <f t="shared" si="21"/>
        <v>31.927370459625024</v>
      </c>
      <c r="E1074" s="61">
        <v>31</v>
      </c>
      <c r="F1074" s="65">
        <v>130.08355643668199</v>
      </c>
      <c r="G1074" s="6">
        <v>1430</v>
      </c>
      <c r="H1074" s="6">
        <v>1371</v>
      </c>
      <c r="I1074" s="65">
        <v>8.034115483057457</v>
      </c>
      <c r="J1074" s="6">
        <f>VLOOKUP($D1074,Sheet1!$A$5:$C$192,3,TRUE)</f>
        <v>6</v>
      </c>
      <c r="K1074" s="42" t="str">
        <f>VLOOKUP($D1074,Sheet1!$A$5:$C$192,2,TRUE)</f>
        <v>(|</v>
      </c>
      <c r="L1074" s="6">
        <f>FLOOR(VLOOKUP($D1074,Sheet1!$D$5:$F$192,3,TRUE),1)</f>
        <v>13</v>
      </c>
      <c r="M1074" s="42" t="str">
        <f>VLOOKUP($D1074,Sheet1!$D$5:$F$192,2,TRUE)</f>
        <v>|\</v>
      </c>
      <c r="N1074" s="23">
        <f>FLOOR(VLOOKUP($D1074,Sheet1!$G$5:$I$192,3,TRUE),1)</f>
        <v>16</v>
      </c>
      <c r="O1074" s="42" t="str">
        <f>VLOOKUP($D1074,Sheet1!$G$5:$I$192,2,TRUE)</f>
        <v>|\</v>
      </c>
      <c r="P1074" s="23">
        <v>1</v>
      </c>
      <c r="Q1074" s="43" t="str">
        <f>VLOOKUP($D1074,Sheet1!$J$5:$L$192,2,TRUE)</f>
        <v>|\</v>
      </c>
      <c r="R1074" s="23">
        <f>FLOOR(VLOOKUP($D1074,Sheet1!$M$5:$O$192,3,TRUE),1)</f>
        <v>65</v>
      </c>
      <c r="S1074" s="42" t="str">
        <f>VLOOKUP($D1074,Sheet1!$M$5:$O$192,2,TRUE)</f>
        <v>|\</v>
      </c>
      <c r="T1074" s="117">
        <f>IF(ABS(D1074-VLOOKUP($D1074,Sheet1!$M$5:$T$192,8,TRUE))&lt;10^-10,"SoCA",D1074-VLOOKUP($D1074,Sheet1!$M$5:$T$192,8,TRUE))</f>
        <v>0.16071682619561045</v>
      </c>
      <c r="U1074" s="109" t="str">
        <f>IF(VLOOKUP($D1074,Sheet1!$M$5:$U$192,9,TRUE)=0,"",IF(ABS(D1074-VLOOKUP($D1074,Sheet1!$M$5:$U$192,9,TRUE))&lt;10^-10,"Alt.",D1074-VLOOKUP($D1074,Sheet1!$M$5:$U$192,9,TRUE)))</f>
        <v/>
      </c>
      <c r="V1074" s="132">
        <f>$D1074-Sheet1!$M$3*$R1074</f>
        <v>0.21266919888993741</v>
      </c>
      <c r="Z1074" s="6"/>
      <c r="AA1074" s="61"/>
    </row>
    <row r="1075" spans="1:27" ht="13.5">
      <c r="A1075" t="s">
        <v>1133</v>
      </c>
      <c r="B1075">
        <v>35072</v>
      </c>
      <c r="C1075">
        <v>35721</v>
      </c>
      <c r="D1075" s="13">
        <f t="shared" si="21"/>
        <v>31.743318577942272</v>
      </c>
      <c r="E1075" s="61" t="s">
        <v>1931</v>
      </c>
      <c r="F1075" s="65">
        <v>182.31869518912774</v>
      </c>
      <c r="G1075" s="6">
        <v>1041</v>
      </c>
      <c r="H1075" s="6">
        <v>982</v>
      </c>
      <c r="I1075" s="65">
        <v>4.0454482279501756</v>
      </c>
      <c r="J1075" s="6">
        <f>VLOOKUP($D1075,Sheet1!$A$5:$C$192,3,TRUE)</f>
        <v>6</v>
      </c>
      <c r="K1075" s="42" t="str">
        <f>VLOOKUP($D1075,Sheet1!$A$5:$C$192,2,TRUE)</f>
        <v>(|</v>
      </c>
      <c r="L1075" s="6">
        <f>FLOOR(VLOOKUP($D1075,Sheet1!$D$5:$F$192,3,TRUE),1)</f>
        <v>13</v>
      </c>
      <c r="M1075" s="42" t="str">
        <f>VLOOKUP($D1075,Sheet1!$D$5:$F$192,2,TRUE)</f>
        <v>|\</v>
      </c>
      <c r="N1075" s="23">
        <f>FLOOR(VLOOKUP($D1075,Sheet1!$G$5:$I$192,3,TRUE),1)</f>
        <v>16</v>
      </c>
      <c r="O1075" s="42" t="str">
        <f>VLOOKUP($D1075,Sheet1!$G$5:$I$192,2,TRUE)</f>
        <v>|\</v>
      </c>
      <c r="P1075" s="23">
        <v>1</v>
      </c>
      <c r="Q1075" s="43" t="str">
        <f>VLOOKUP($D1075,Sheet1!$J$5:$L$192,2,TRUE)</f>
        <v>|\</v>
      </c>
      <c r="R1075" s="23">
        <f>FLOOR(VLOOKUP($D1075,Sheet1!$M$5:$O$192,3,TRUE),1)</f>
        <v>65</v>
      </c>
      <c r="S1075" s="42" t="str">
        <f>VLOOKUP($D1075,Sheet1!$M$5:$O$192,2,TRUE)</f>
        <v>|\</v>
      </c>
      <c r="T1075" s="117">
        <f>IF(ABS(D1075-VLOOKUP($D1075,Sheet1!$M$5:$T$192,8,TRUE))&lt;10^-10,"SoCA",D1075-VLOOKUP($D1075,Sheet1!$M$5:$T$192,8,TRUE))</f>
        <v>-2.3335055487141432E-2</v>
      </c>
      <c r="U1075" s="109" t="str">
        <f>IF(VLOOKUP($D1075,Sheet1!$M$5:$U$192,9,TRUE)=0,"",IF(ABS(D1075-VLOOKUP($D1075,Sheet1!$M$5:$U$192,9,TRUE))&lt;10^-10,"Alt.",D1075-VLOOKUP($D1075,Sheet1!$M$5:$U$192,9,TRUE)))</f>
        <v/>
      </c>
      <c r="V1075" s="132">
        <f>$D1075-Sheet1!$M$3*$R1075</f>
        <v>2.8617317207185522E-2</v>
      </c>
      <c r="Z1075" s="6"/>
      <c r="AA1075" s="61"/>
    </row>
    <row r="1076" spans="1:27" ht="13.5">
      <c r="A1076" s="6" t="s">
        <v>1838</v>
      </c>
      <c r="B1076">
        <v>121188231</v>
      </c>
      <c r="C1076">
        <v>123437056</v>
      </c>
      <c r="D1076" s="13">
        <f t="shared" si="21"/>
        <v>31.831149890279313</v>
      </c>
      <c r="E1076" s="61" t="s">
        <v>1931</v>
      </c>
      <c r="F1076" s="65">
        <v>4791.2712839241885</v>
      </c>
      <c r="G1076" s="59">
        <v>1636</v>
      </c>
      <c r="H1076" s="63">
        <v>1000043</v>
      </c>
      <c r="I1076" s="65">
        <v>-10.959959865937309</v>
      </c>
      <c r="J1076" s="6">
        <f>VLOOKUP($D1076,Sheet1!$A$5:$C$192,3,TRUE)</f>
        <v>6</v>
      </c>
      <c r="K1076" s="42" t="str">
        <f>VLOOKUP($D1076,Sheet1!$A$5:$C$192,2,TRUE)</f>
        <v>(|</v>
      </c>
      <c r="L1076" s="6">
        <f>FLOOR(VLOOKUP($D1076,Sheet1!$D$5:$F$192,3,TRUE),1)</f>
        <v>13</v>
      </c>
      <c r="M1076" s="42" t="str">
        <f>VLOOKUP($D1076,Sheet1!$D$5:$F$192,2,TRUE)</f>
        <v>|\</v>
      </c>
      <c r="N1076" s="23">
        <f>FLOOR(VLOOKUP($D1076,Sheet1!$G$5:$I$192,3,TRUE),1)</f>
        <v>16</v>
      </c>
      <c r="O1076" s="42" t="str">
        <f>VLOOKUP($D1076,Sheet1!$G$5:$I$192,2,TRUE)</f>
        <v>|\</v>
      </c>
      <c r="P1076" s="23">
        <v>1</v>
      </c>
      <c r="Q1076" s="43" t="str">
        <f>VLOOKUP($D1076,Sheet1!$J$5:$L$192,2,TRUE)</f>
        <v>|\</v>
      </c>
      <c r="R1076" s="23">
        <f>FLOOR(VLOOKUP($D1076,Sheet1!$M$5:$O$192,3,TRUE),1)</f>
        <v>65</v>
      </c>
      <c r="S1076" s="42" t="str">
        <f>VLOOKUP($D1076,Sheet1!$M$5:$O$192,2,TRUE)</f>
        <v>|\</v>
      </c>
      <c r="T1076" s="117">
        <f>IF(ABS(D1076-VLOOKUP($D1076,Sheet1!$M$5:$T$192,8,TRUE))&lt;10^-10,"SoCA",D1076-VLOOKUP($D1076,Sheet1!$M$5:$T$192,8,TRUE))</f>
        <v>6.449625684989968E-2</v>
      </c>
      <c r="U1076" s="109" t="str">
        <f>IF(VLOOKUP($D1076,Sheet1!$M$5:$U$192,9,TRUE)=0,"",IF(ABS(D1076-VLOOKUP($D1076,Sheet1!$M$5:$U$192,9,TRUE))&lt;10^-10,"Alt.",D1076-VLOOKUP($D1076,Sheet1!$M$5:$U$192,9,TRUE)))</f>
        <v/>
      </c>
      <c r="V1076" s="132">
        <f>$D1076-Sheet1!$M$3*$R1076</f>
        <v>0.11644862954422663</v>
      </c>
      <c r="Z1076" s="6"/>
      <c r="AA1076" s="61"/>
    </row>
    <row r="1077" spans="1:27" ht="13.5">
      <c r="A1077" s="38" t="s">
        <v>680</v>
      </c>
      <c r="B1077" s="38">
        <f>3^5*7*13</f>
        <v>22113</v>
      </c>
      <c r="C1077" s="38">
        <f>2^11*11</f>
        <v>22528</v>
      </c>
      <c r="D1077" s="13">
        <f t="shared" si="21"/>
        <v>32.189369799384167</v>
      </c>
      <c r="E1077" s="61">
        <v>13</v>
      </c>
      <c r="F1077" s="65">
        <v>38.729938980628816</v>
      </c>
      <c r="G1077" s="6">
        <v>514</v>
      </c>
      <c r="H1077" s="6">
        <v>525</v>
      </c>
      <c r="I1077" s="65">
        <v>-6.9820167708070766</v>
      </c>
      <c r="J1077" s="6">
        <f>VLOOKUP($D1077,Sheet1!$A$5:$C$192,3,TRUE)</f>
        <v>6</v>
      </c>
      <c r="K1077" s="42" t="str">
        <f>VLOOKUP($D1077,Sheet1!$A$5:$C$192,2,TRUE)</f>
        <v>(|</v>
      </c>
      <c r="L1077" s="6">
        <f>FLOOR(VLOOKUP($D1077,Sheet1!$D$5:$F$192,3,TRUE),1)</f>
        <v>13</v>
      </c>
      <c r="M1077" s="42" t="str">
        <f>VLOOKUP($D1077,Sheet1!$D$5:$F$192,2,TRUE)</f>
        <v>|\</v>
      </c>
      <c r="N1077" s="23">
        <f>FLOOR(VLOOKUP($D1077,Sheet1!$G$5:$I$192,3,TRUE),1)</f>
        <v>16</v>
      </c>
      <c r="O1077" s="42" t="str">
        <f>VLOOKUP($D1077,Sheet1!$G$5:$I$192,2,TRUE)</f>
        <v>|\</v>
      </c>
      <c r="P1077" s="23">
        <v>1</v>
      </c>
      <c r="Q1077" s="45" t="str">
        <f>VLOOKUP($D1077,Sheet1!$J$5:$L$192,2,TRUE)</f>
        <v>|\'</v>
      </c>
      <c r="R1077" s="38">
        <f>FLOOR(VLOOKUP($D1077,Sheet1!$M$5:$O$192,3,TRUE),1)</f>
        <v>66</v>
      </c>
      <c r="S1077" s="45" t="str">
        <f>VLOOKUP($D1077,Sheet1!$M$5:$O$192,2,TRUE)</f>
        <v>|\'</v>
      </c>
      <c r="T1077" s="112" t="str">
        <f>IF(ABS(D1077-VLOOKUP($D1077,Sheet1!$M$5:$T$192,8,TRUE))&lt;10^-10,"SoCA",D1077-VLOOKUP($D1077,Sheet1!$M$5:$T$192,8,TRUE))</f>
        <v>SoCA</v>
      </c>
      <c r="U1077" s="108">
        <f>IF(VLOOKUP($D1077,Sheet1!$M$5:$U$192,9,TRUE)=0,"",IF(ABS(D1077-VLOOKUP($D1077,Sheet1!$M$5:$U$192,9,TRUE))&lt;10^-10,"Alt.",D1077-VLOOKUP($D1077,Sheet1!$M$5:$U$192,9,TRUE)))</f>
        <v>2.6960295202364648E-2</v>
      </c>
      <c r="V1077" s="133">
        <f>$D1077-Sheet1!$M$3*$R1077</f>
        <v>-1.3249942285305849E-2</v>
      </c>
      <c r="Z1077" s="6"/>
      <c r="AA1077" s="61"/>
    </row>
    <row r="1078" spans="1:27" ht="13.5">
      <c r="A1078" s="6" t="s">
        <v>623</v>
      </c>
      <c r="B1078" s="6">
        <f>2^9*5^2</f>
        <v>12800</v>
      </c>
      <c r="C1078" s="6">
        <f>3^4*7*23</f>
        <v>13041</v>
      </c>
      <c r="D1078" s="13">
        <f t="shared" si="21"/>
        <v>32.292829469420369</v>
      </c>
      <c r="E1078" s="61">
        <v>23</v>
      </c>
      <c r="F1078" s="65">
        <v>40.206812774212267</v>
      </c>
      <c r="G1078" s="6">
        <v>517</v>
      </c>
      <c r="H1078" s="6">
        <v>468</v>
      </c>
      <c r="I1078" s="65">
        <v>2.0116128403846951</v>
      </c>
      <c r="J1078" s="6">
        <f>VLOOKUP($D1078,Sheet1!$A$5:$C$192,3,TRUE)</f>
        <v>6</v>
      </c>
      <c r="K1078" s="42" t="str">
        <f>VLOOKUP($D1078,Sheet1!$A$5:$C$192,2,TRUE)</f>
        <v>(|</v>
      </c>
      <c r="L1078" s="6">
        <f>FLOOR(VLOOKUP($D1078,Sheet1!$D$5:$F$192,3,TRUE),1)</f>
        <v>13</v>
      </c>
      <c r="M1078" s="42" t="str">
        <f>VLOOKUP($D1078,Sheet1!$D$5:$F$192,2,TRUE)</f>
        <v>|\</v>
      </c>
      <c r="N1078" s="23">
        <f>FLOOR(VLOOKUP($D1078,Sheet1!$G$5:$I$192,3,TRUE),1)</f>
        <v>16</v>
      </c>
      <c r="O1078" s="42" t="str">
        <f>VLOOKUP($D1078,Sheet1!$G$5:$I$192,2,TRUE)</f>
        <v>|\</v>
      </c>
      <c r="P1078" s="23">
        <v>1</v>
      </c>
      <c r="Q1078" s="43" t="str">
        <f>VLOOKUP($D1078,Sheet1!$J$5:$L$192,2,TRUE)</f>
        <v>|\'</v>
      </c>
      <c r="R1078" s="23">
        <f>FLOOR(VLOOKUP($D1078,Sheet1!$M$5:$O$192,3,TRUE),1)</f>
        <v>66</v>
      </c>
      <c r="S1078" s="42" t="str">
        <f>VLOOKUP($D1078,Sheet1!$M$5:$O$192,2,TRUE)</f>
        <v>(|..</v>
      </c>
      <c r="T1078" s="117">
        <f>IF(ABS(D1078-VLOOKUP($D1078,Sheet1!$M$5:$T$192,8,TRUE))&lt;10^-10,"SoCA",D1078-VLOOKUP($D1078,Sheet1!$M$5:$T$192,8,TRUE))</f>
        <v>-2.2617353945527441E-2</v>
      </c>
      <c r="U1078" s="109">
        <f>IF(VLOOKUP($D1078,Sheet1!$M$5:$U$192,9,TRUE)=0,"",IF(ABS(D1078-VLOOKUP($D1078,Sheet1!$M$5:$U$192,9,TRUE))&lt;10^-10,"Alt.",D1078-VLOOKUP($D1078,Sheet1!$M$5:$U$192,9,TRUE)))</f>
        <v>-3.6669521339980804E-2</v>
      </c>
      <c r="V1078" s="132">
        <f>$D1078-Sheet1!$M$3*$R1078</f>
        <v>9.0209727750895752E-2</v>
      </c>
      <c r="Z1078" s="6"/>
      <c r="AA1078" s="61"/>
    </row>
    <row r="1079" spans="1:27" ht="13.5">
      <c r="A1079" s="23" t="s">
        <v>129</v>
      </c>
      <c r="B1079" s="23">
        <f>3^4*19</f>
        <v>1539</v>
      </c>
      <c r="C1079" s="23">
        <f>2^5*7^2</f>
        <v>1568</v>
      </c>
      <c r="D1079" s="13">
        <f t="shared" si="21"/>
        <v>32.318793344397498</v>
      </c>
      <c r="E1079" s="61">
        <v>19</v>
      </c>
      <c r="F1079" s="65">
        <v>40.381280844268836</v>
      </c>
      <c r="G1079" s="6">
        <v>229</v>
      </c>
      <c r="H1079" s="6">
        <v>230</v>
      </c>
      <c r="I1079" s="65">
        <v>-5.9899858499891936</v>
      </c>
      <c r="J1079" s="6">
        <f>VLOOKUP($D1079,Sheet1!$A$5:$C$192,3,TRUE)</f>
        <v>6</v>
      </c>
      <c r="K1079" s="42" t="str">
        <f>VLOOKUP($D1079,Sheet1!$A$5:$C$192,2,TRUE)</f>
        <v>(|</v>
      </c>
      <c r="L1079" s="6">
        <f>FLOOR(VLOOKUP($D1079,Sheet1!$D$5:$F$192,3,TRUE),1)</f>
        <v>13</v>
      </c>
      <c r="M1079" s="42" t="str">
        <f>VLOOKUP($D1079,Sheet1!$D$5:$F$192,2,TRUE)</f>
        <v>|\</v>
      </c>
      <c r="N1079" s="23">
        <f>FLOOR(VLOOKUP($D1079,Sheet1!$G$5:$I$192,3,TRUE),1)</f>
        <v>16</v>
      </c>
      <c r="O1079" s="42" t="str">
        <f>VLOOKUP($D1079,Sheet1!$G$5:$I$192,2,TRUE)</f>
        <v>|\</v>
      </c>
      <c r="P1079" s="23">
        <v>1</v>
      </c>
      <c r="Q1079" s="43" t="str">
        <f>VLOOKUP($D1079,Sheet1!$J$5:$L$192,2,TRUE)</f>
        <v>|\'</v>
      </c>
      <c r="R1079" s="23">
        <f>FLOOR(VLOOKUP($D1079,Sheet1!$M$5:$O$192,3,TRUE),1)</f>
        <v>66</v>
      </c>
      <c r="S1079" s="43" t="str">
        <f>VLOOKUP($D1079,Sheet1!$M$5:$O$192,2,TRUE)</f>
        <v>(|..</v>
      </c>
      <c r="T1079" s="117">
        <f>IF(ABS(D1079-VLOOKUP($D1079,Sheet1!$M$5:$T$192,8,TRUE))&lt;10^-10,"SoCA",D1079-VLOOKUP($D1079,Sheet1!$M$5:$T$192,8,TRUE))</f>
        <v>3.3465210316023786E-3</v>
      </c>
      <c r="U1079" s="117">
        <f>IF(VLOOKUP($D1079,Sheet1!$M$5:$U$192,9,TRUE)=0,"",IF(ABS(D1079-VLOOKUP($D1079,Sheet1!$M$5:$U$192,9,TRUE))&lt;10^-10,"Alt.",D1079-VLOOKUP($D1079,Sheet1!$M$5:$U$192,9,TRUE)))</f>
        <v>-1.0705646362850985E-2</v>
      </c>
      <c r="V1079" s="132">
        <f>$D1079-Sheet1!$M$3*$R1079</f>
        <v>0.11617360272802557</v>
      </c>
      <c r="Z1079" s="6"/>
      <c r="AA1079" s="61"/>
    </row>
    <row r="1080" spans="1:27" ht="13.5">
      <c r="A1080" t="s">
        <v>1219</v>
      </c>
      <c r="B1080">
        <v>3267</v>
      </c>
      <c r="C1080">
        <v>3328</v>
      </c>
      <c r="D1080" s="13">
        <f t="shared" si="21"/>
        <v>32.026774443634764</v>
      </c>
      <c r="E1080" s="61">
        <v>13</v>
      </c>
      <c r="F1080" s="65">
        <v>42.392820327136555</v>
      </c>
      <c r="G1080" s="6">
        <v>1127</v>
      </c>
      <c r="H1080" s="6">
        <v>1068</v>
      </c>
      <c r="I1080" s="65">
        <v>-4.9720051823864537</v>
      </c>
      <c r="J1080" s="6">
        <f>VLOOKUP($D1080,Sheet1!$A$5:$C$192,3,TRUE)</f>
        <v>6</v>
      </c>
      <c r="K1080" s="42" t="str">
        <f>VLOOKUP($D1080,Sheet1!$A$5:$C$192,2,TRUE)</f>
        <v>(|</v>
      </c>
      <c r="L1080" s="6">
        <f>FLOOR(VLOOKUP($D1080,Sheet1!$D$5:$F$192,3,TRUE),1)</f>
        <v>13</v>
      </c>
      <c r="M1080" s="42" t="str">
        <f>VLOOKUP($D1080,Sheet1!$D$5:$F$192,2,TRUE)</f>
        <v>|\</v>
      </c>
      <c r="N1080" s="23">
        <f>FLOOR(VLOOKUP($D1080,Sheet1!$G$5:$I$192,3,TRUE),1)</f>
        <v>16</v>
      </c>
      <c r="O1080" s="42" t="str">
        <f>VLOOKUP($D1080,Sheet1!$G$5:$I$192,2,TRUE)</f>
        <v>|\</v>
      </c>
      <c r="P1080" s="23">
        <v>1</v>
      </c>
      <c r="Q1080" s="43" t="str">
        <f>VLOOKUP($D1080,Sheet1!$J$5:$L$192,2,TRUE)</f>
        <v>|\'</v>
      </c>
      <c r="R1080" s="23">
        <f>FLOOR(VLOOKUP($D1080,Sheet1!$M$5:$O$192,3,TRUE),1)</f>
        <v>66</v>
      </c>
      <c r="S1080" s="42" t="str">
        <f>VLOOKUP($D1080,Sheet1!$M$5:$O$192,2,TRUE)</f>
        <v>|\'</v>
      </c>
      <c r="T1080" s="117">
        <f>IF(ABS(D1080-VLOOKUP($D1080,Sheet1!$M$5:$T$192,8,TRUE))&lt;10^-10,"SoCA",D1080-VLOOKUP($D1080,Sheet1!$M$5:$T$192,8,TRUE))</f>
        <v>-0.16259535574947392</v>
      </c>
      <c r="U1080" s="109">
        <f>IF(VLOOKUP($D1080,Sheet1!$M$5:$U$192,9,TRUE)=0,"",IF(ABS(D1080-VLOOKUP($D1080,Sheet1!$M$5:$U$192,9,TRUE))&lt;10^-10,"Alt.",D1080-VLOOKUP($D1080,Sheet1!$M$5:$U$192,9,TRUE)))</f>
        <v>-0.13563506054703822</v>
      </c>
      <c r="V1080" s="132">
        <f>$D1080-Sheet1!$M$3*$R1080</f>
        <v>-0.17584529803470872</v>
      </c>
      <c r="Z1080" s="6"/>
      <c r="AA1080" s="61"/>
    </row>
    <row r="1081" spans="1:27" ht="13.5">
      <c r="A1081" t="s">
        <v>479</v>
      </c>
      <c r="B1081">
        <v>2624</v>
      </c>
      <c r="C1081">
        <v>2673</v>
      </c>
      <c r="D1081" s="13">
        <f t="shared" si="21"/>
        <v>32.030541149993184</v>
      </c>
      <c r="E1081" s="61">
        <v>41</v>
      </c>
      <c r="F1081" s="65">
        <v>52.442437302540966</v>
      </c>
      <c r="G1081" s="6">
        <v>345</v>
      </c>
      <c r="H1081" s="6">
        <v>317</v>
      </c>
      <c r="I1081" s="65">
        <v>3.0277628877801996</v>
      </c>
      <c r="J1081" s="6">
        <f>VLOOKUP($D1081,Sheet1!$A$5:$C$192,3,TRUE)</f>
        <v>6</v>
      </c>
      <c r="K1081" s="42" t="str">
        <f>VLOOKUP($D1081,Sheet1!$A$5:$C$192,2,TRUE)</f>
        <v>(|</v>
      </c>
      <c r="L1081" s="6">
        <f>FLOOR(VLOOKUP($D1081,Sheet1!$D$5:$F$192,3,TRUE),1)</f>
        <v>13</v>
      </c>
      <c r="M1081" s="42" t="str">
        <f>VLOOKUP($D1081,Sheet1!$D$5:$F$192,2,TRUE)</f>
        <v>|\</v>
      </c>
      <c r="N1081" s="23">
        <f>FLOOR(VLOOKUP($D1081,Sheet1!$G$5:$I$192,3,TRUE),1)</f>
        <v>16</v>
      </c>
      <c r="O1081" s="42" t="str">
        <f>VLOOKUP($D1081,Sheet1!$G$5:$I$192,2,TRUE)</f>
        <v>|\</v>
      </c>
      <c r="P1081" s="23">
        <v>1</v>
      </c>
      <c r="Q1081" s="43" t="str">
        <f>VLOOKUP($D1081,Sheet1!$J$5:$L$192,2,TRUE)</f>
        <v>|\'</v>
      </c>
      <c r="R1081" s="23">
        <f>FLOOR(VLOOKUP($D1081,Sheet1!$M$5:$O$192,3,TRUE),1)</f>
        <v>66</v>
      </c>
      <c r="S1081" s="42" t="str">
        <f>VLOOKUP($D1081,Sheet1!$M$5:$O$192,2,TRUE)</f>
        <v>|\'</v>
      </c>
      <c r="T1081" s="117">
        <f>IF(ABS(D1081-VLOOKUP($D1081,Sheet1!$M$5:$T$192,8,TRUE))&lt;10^-10,"SoCA",D1081-VLOOKUP($D1081,Sheet1!$M$5:$T$192,8,TRUE))</f>
        <v>-0.15882864939105446</v>
      </c>
      <c r="U1081" s="109">
        <f>IF(VLOOKUP($D1081,Sheet1!$M$5:$U$192,9,TRUE)=0,"",IF(ABS(D1081-VLOOKUP($D1081,Sheet1!$M$5:$U$192,9,TRUE))&lt;10^-10,"Alt.",D1081-VLOOKUP($D1081,Sheet1!$M$5:$U$192,9,TRUE)))</f>
        <v>-0.13186835418861875</v>
      </c>
      <c r="V1081" s="132">
        <f>$D1081-Sheet1!$M$3*$R1081</f>
        <v>-0.17207859167628925</v>
      </c>
      <c r="Z1081" s="6"/>
      <c r="AA1081" s="61"/>
    </row>
    <row r="1082" spans="1:27" ht="13.5">
      <c r="A1082" s="6" t="s">
        <v>1465</v>
      </c>
      <c r="B1082" s="6">
        <f>2^17*5*13</f>
        <v>8519680</v>
      </c>
      <c r="C1082" s="6">
        <f>3^11*7^2</f>
        <v>8680203</v>
      </c>
      <c r="D1082" s="13">
        <f t="shared" si="21"/>
        <v>32.315446823365932</v>
      </c>
      <c r="E1082" s="61">
        <v>13</v>
      </c>
      <c r="F1082" s="65">
        <v>56.970588467694313</v>
      </c>
      <c r="G1082" s="6">
        <v>1227</v>
      </c>
      <c r="H1082" s="6">
        <v>1314</v>
      </c>
      <c r="I1082" s="65">
        <v>9.0102202075027602</v>
      </c>
      <c r="J1082" s="6">
        <f>VLOOKUP($D1082,Sheet1!$A$5:$C$192,3,TRUE)</f>
        <v>6</v>
      </c>
      <c r="K1082" s="42" t="str">
        <f>VLOOKUP($D1082,Sheet1!$A$5:$C$192,2,TRUE)</f>
        <v>(|</v>
      </c>
      <c r="L1082" s="6">
        <f>FLOOR(VLOOKUP($D1082,Sheet1!$D$5:$F$192,3,TRUE),1)</f>
        <v>13</v>
      </c>
      <c r="M1082" s="42" t="str">
        <f>VLOOKUP($D1082,Sheet1!$D$5:$F$192,2,TRUE)</f>
        <v>|\</v>
      </c>
      <c r="N1082" s="23">
        <f>FLOOR(VLOOKUP($D1082,Sheet1!$G$5:$I$192,3,TRUE),1)</f>
        <v>16</v>
      </c>
      <c r="O1082" s="42" t="str">
        <f>VLOOKUP($D1082,Sheet1!$G$5:$I$192,2,TRUE)</f>
        <v>|\</v>
      </c>
      <c r="P1082" s="23">
        <v>1</v>
      </c>
      <c r="Q1082" s="43" t="str">
        <f>VLOOKUP($D1082,Sheet1!$J$5:$L$192,2,TRUE)</f>
        <v>|\'</v>
      </c>
      <c r="R1082" s="23">
        <f>FLOOR(VLOOKUP($D1082,Sheet1!$M$5:$O$192,3,TRUE),1)</f>
        <v>66</v>
      </c>
      <c r="S1082" s="42" t="str">
        <f>VLOOKUP($D1082,Sheet1!$M$5:$O$192,2,TRUE)</f>
        <v>(|..</v>
      </c>
      <c r="T1082" s="117" t="str">
        <f>IF(ABS(D1082-VLOOKUP($D1082,Sheet1!$M$5:$T$192,8,TRUE))&lt;10^-10,"SoCA",D1082-VLOOKUP($D1082,Sheet1!$M$5:$T$192,8,TRUE))</f>
        <v>SoCA</v>
      </c>
      <c r="U1082" s="109">
        <f>IF(VLOOKUP($D1082,Sheet1!$M$5:$U$192,9,TRUE)=0,"",IF(ABS(D1082-VLOOKUP($D1082,Sheet1!$M$5:$U$192,9,TRUE))&lt;10^-10,"Alt.",D1082-VLOOKUP($D1082,Sheet1!$M$5:$U$192,9,TRUE)))</f>
        <v>-1.4052167394417836E-2</v>
      </c>
      <c r="V1082" s="132">
        <f>$D1082-Sheet1!$M$3*$R1082</f>
        <v>0.11282708169645872</v>
      </c>
      <c r="Z1082" s="6"/>
      <c r="AA1082" s="61"/>
    </row>
    <row r="1083" spans="1:27" ht="13.5">
      <c r="A1083" s="52" t="s">
        <v>279</v>
      </c>
      <c r="B1083" s="142">
        <f>53</f>
        <v>53</v>
      </c>
      <c r="C1083" s="143">
        <f>2*3^3</f>
        <v>54</v>
      </c>
      <c r="D1083" s="13">
        <f t="shared" si="21"/>
        <v>32.360457120323233</v>
      </c>
      <c r="E1083" s="61" t="s">
        <v>1931</v>
      </c>
      <c r="F1083" s="65">
        <v>63.710802581008451</v>
      </c>
      <c r="G1083" s="6">
        <v>102</v>
      </c>
      <c r="H1083" s="6">
        <v>94</v>
      </c>
      <c r="I1083" s="65">
        <v>1.0074487595376593</v>
      </c>
      <c r="J1083" s="6">
        <f>VLOOKUP($D1083,Sheet1!$A$5:$C$192,3,TRUE)</f>
        <v>6</v>
      </c>
      <c r="K1083" s="42" t="str">
        <f>VLOOKUP($D1083,Sheet1!$A$5:$C$192,2,TRUE)</f>
        <v>(|</v>
      </c>
      <c r="L1083" s="6">
        <f>FLOOR(VLOOKUP($D1083,Sheet1!$D$5:$F$192,3,TRUE),1)</f>
        <v>13</v>
      </c>
      <c r="M1083" s="42" t="str">
        <f>VLOOKUP($D1083,Sheet1!$D$5:$F$192,2,TRUE)</f>
        <v>|\</v>
      </c>
      <c r="N1083" s="23">
        <f>FLOOR(VLOOKUP($D1083,Sheet1!$G$5:$I$192,3,TRUE),1)</f>
        <v>16</v>
      </c>
      <c r="O1083" s="42" t="str">
        <f>VLOOKUP($D1083,Sheet1!$G$5:$I$192,2,TRUE)</f>
        <v>|\</v>
      </c>
      <c r="P1083" s="23">
        <v>1</v>
      </c>
      <c r="Q1083" s="43" t="str">
        <f>VLOOKUP($D1083,Sheet1!$J$5:$L$192,2,TRUE)</f>
        <v>|\'</v>
      </c>
      <c r="R1083" s="40">
        <f>FLOOR(VLOOKUP($D1083,Sheet1!$M$5:$O$192,3,TRUE),1)</f>
        <v>66</v>
      </c>
      <c r="S1083" s="46" t="str">
        <f>VLOOKUP($D1083,Sheet1!$M$5:$O$192,2,TRUE)</f>
        <v>(|..</v>
      </c>
      <c r="T1083" s="115">
        <f>IF(ABS(D1083-VLOOKUP($D1083,Sheet1!$M$5:$T$192,8,TRUE))&lt;10^-10,"SoCA",D1083-VLOOKUP($D1083,Sheet1!$M$5:$T$192,8,TRUE))</f>
        <v>4.5010296957336493E-2</v>
      </c>
      <c r="U1083" s="115">
        <f>IF(VLOOKUP($D1083,Sheet1!$M$5:$U$192,9,TRUE)=0,"",IF(ABS(D1083-VLOOKUP($D1083,Sheet1!$M$5:$U$192,9,TRUE))&lt;10^-10,"Alt.",D1083-VLOOKUP($D1083,Sheet1!$M$5:$U$192,9,TRUE)))</f>
        <v>3.095812956288313E-2</v>
      </c>
      <c r="V1083" s="132">
        <f>$D1083-Sheet1!$M$3*$R1083</f>
        <v>0.15783737865375969</v>
      </c>
      <c r="Z1083" s="6"/>
      <c r="AA1083" s="61"/>
    </row>
    <row r="1084" spans="1:27" ht="13.5">
      <c r="A1084" s="6" t="s">
        <v>1913</v>
      </c>
      <c r="B1084">
        <v>3601989</v>
      </c>
      <c r="C1084">
        <v>3670016</v>
      </c>
      <c r="D1084" s="13">
        <f t="shared" si="21"/>
        <v>32.391092739787162</v>
      </c>
      <c r="E1084" s="61" t="s">
        <v>1931</v>
      </c>
      <c r="F1084" s="65">
        <v>127.89782993612187</v>
      </c>
      <c r="G1084" s="59">
        <v>1753</v>
      </c>
      <c r="H1084" s="63">
        <v>1000118</v>
      </c>
      <c r="I1084" s="65">
        <v>-11.994437587164374</v>
      </c>
      <c r="J1084" s="6">
        <f>VLOOKUP($D1084,Sheet1!$A$5:$C$192,3,TRUE)</f>
        <v>6</v>
      </c>
      <c r="K1084" s="42" t="str">
        <f>VLOOKUP($D1084,Sheet1!$A$5:$C$192,2,TRUE)</f>
        <v>(|</v>
      </c>
      <c r="L1084" s="6">
        <f>FLOOR(VLOOKUP($D1084,Sheet1!$D$5:$F$192,3,TRUE),1)</f>
        <v>13</v>
      </c>
      <c r="M1084" s="42" t="str">
        <f>VLOOKUP($D1084,Sheet1!$D$5:$F$192,2,TRUE)</f>
        <v>|\</v>
      </c>
      <c r="N1084" s="23">
        <f>FLOOR(VLOOKUP($D1084,Sheet1!$G$5:$I$192,3,TRUE),1)</f>
        <v>16</v>
      </c>
      <c r="O1084" s="42" t="str">
        <f>VLOOKUP($D1084,Sheet1!$G$5:$I$192,2,TRUE)</f>
        <v>|\</v>
      </c>
      <c r="P1084" s="23">
        <v>1</v>
      </c>
      <c r="Q1084" s="43" t="str">
        <f>VLOOKUP($D1084,Sheet1!$J$5:$L$192,2,TRUE)</f>
        <v>|\'</v>
      </c>
      <c r="R1084" s="23">
        <f>FLOOR(VLOOKUP($D1084,Sheet1!$M$5:$O$192,3,TRUE),1)</f>
        <v>66</v>
      </c>
      <c r="S1084" s="42" t="str">
        <f>VLOOKUP($D1084,Sheet1!$M$5:$O$192,2,TRUE)</f>
        <v>(|..</v>
      </c>
      <c r="T1084" s="117">
        <f>IF(ABS(D1084-VLOOKUP($D1084,Sheet1!$M$5:$T$192,8,TRUE))&lt;10^-10,"SoCA",D1084-VLOOKUP($D1084,Sheet1!$M$5:$T$192,8,TRUE))</f>
        <v>7.5645916421265724E-2</v>
      </c>
      <c r="U1084" s="109">
        <f>IF(VLOOKUP($D1084,Sheet1!$M$5:$U$192,9,TRUE)=0,"",IF(ABS(D1084-VLOOKUP($D1084,Sheet1!$M$5:$U$192,9,TRUE))&lt;10^-10,"Alt.",D1084-VLOOKUP($D1084,Sheet1!$M$5:$U$192,9,TRUE)))</f>
        <v>6.1593749026812361E-2</v>
      </c>
      <c r="V1084" s="132">
        <f>$D1084-Sheet1!$M$3*$R1084</f>
        <v>0.18847299811768892</v>
      </c>
      <c r="Z1084" s="6"/>
      <c r="AA1084" s="61"/>
    </row>
    <row r="1085" spans="1:27" ht="13.5">
      <c r="A1085" s="6" t="s">
        <v>1822</v>
      </c>
      <c r="B1085">
        <v>1318761</v>
      </c>
      <c r="C1085">
        <v>1343488</v>
      </c>
      <c r="D1085" s="13">
        <f t="shared" si="21"/>
        <v>32.160369203886802</v>
      </c>
      <c r="E1085" s="61" t="s">
        <v>1931</v>
      </c>
      <c r="F1085" s="65">
        <v>140.87554497150958</v>
      </c>
      <c r="G1085" s="59">
        <v>1441</v>
      </c>
      <c r="H1085" s="63">
        <v>1000027</v>
      </c>
      <c r="I1085" s="65">
        <v>-10.980231098487382</v>
      </c>
      <c r="J1085" s="6">
        <f>VLOOKUP($D1085,Sheet1!$A$5:$C$192,3,TRUE)</f>
        <v>6</v>
      </c>
      <c r="K1085" s="42" t="str">
        <f>VLOOKUP($D1085,Sheet1!$A$5:$C$192,2,TRUE)</f>
        <v>(|</v>
      </c>
      <c r="L1085" s="6">
        <f>FLOOR(VLOOKUP($D1085,Sheet1!$D$5:$F$192,3,TRUE),1)</f>
        <v>13</v>
      </c>
      <c r="M1085" s="42" t="str">
        <f>VLOOKUP($D1085,Sheet1!$D$5:$F$192,2,TRUE)</f>
        <v>|\</v>
      </c>
      <c r="N1085" s="23">
        <f>FLOOR(VLOOKUP($D1085,Sheet1!$G$5:$I$192,3,TRUE),1)</f>
        <v>16</v>
      </c>
      <c r="O1085" s="42" t="str">
        <f>VLOOKUP($D1085,Sheet1!$G$5:$I$192,2,TRUE)</f>
        <v>|\</v>
      </c>
      <c r="P1085" s="23">
        <v>1</v>
      </c>
      <c r="Q1085" s="43" t="str">
        <f>VLOOKUP($D1085,Sheet1!$J$5:$L$192,2,TRUE)</f>
        <v>|\'</v>
      </c>
      <c r="R1085" s="23">
        <f>FLOOR(VLOOKUP($D1085,Sheet1!$M$5:$O$192,3,TRUE),1)</f>
        <v>66</v>
      </c>
      <c r="S1085" s="42" t="str">
        <f>VLOOKUP($D1085,Sheet1!$M$5:$O$192,2,TRUE)</f>
        <v>|\'</v>
      </c>
      <c r="T1085" s="117">
        <f>IF(ABS(D1085-VLOOKUP($D1085,Sheet1!$M$5:$T$192,8,TRUE))&lt;10^-10,"SoCA",D1085-VLOOKUP($D1085,Sheet1!$M$5:$T$192,8,TRUE))</f>
        <v>-2.9000595497436166E-2</v>
      </c>
      <c r="U1085" s="109">
        <f>IF(VLOOKUP($D1085,Sheet1!$M$5:$U$192,9,TRUE)=0,"",IF(ABS(D1085-VLOOKUP($D1085,Sheet1!$M$5:$U$192,9,TRUE))&lt;10^-10,"Alt.",D1085-VLOOKUP($D1085,Sheet1!$M$5:$U$192,9,TRUE)))</f>
        <v>-2.0403002950004634E-3</v>
      </c>
      <c r="V1085" s="132">
        <f>$D1085-Sheet1!$M$3*$R1085</f>
        <v>-4.225053778267096E-2</v>
      </c>
      <c r="Z1085" s="6"/>
      <c r="AA1085" s="61"/>
    </row>
    <row r="1086" spans="1:27" ht="13.5">
      <c r="A1086" s="6" t="s">
        <v>1914</v>
      </c>
      <c r="B1086">
        <v>4310577</v>
      </c>
      <c r="C1086">
        <v>4390912</v>
      </c>
      <c r="D1086" s="13">
        <f t="shared" si="21"/>
        <v>31.967549239432067</v>
      </c>
      <c r="E1086" s="61" t="s">
        <v>1931</v>
      </c>
      <c r="F1086" s="65">
        <v>208.86965169816358</v>
      </c>
      <c r="G1086" s="59">
        <v>1754</v>
      </c>
      <c r="H1086" s="63">
        <v>1000119</v>
      </c>
      <c r="I1086" s="65">
        <v>-11.968358470794527</v>
      </c>
      <c r="J1086" s="6">
        <f>VLOOKUP($D1086,Sheet1!$A$5:$C$192,3,TRUE)</f>
        <v>6</v>
      </c>
      <c r="K1086" s="42" t="str">
        <f>VLOOKUP($D1086,Sheet1!$A$5:$C$192,2,TRUE)</f>
        <v>(|</v>
      </c>
      <c r="L1086" s="6">
        <f>FLOOR(VLOOKUP($D1086,Sheet1!$D$5:$F$192,3,TRUE),1)</f>
        <v>13</v>
      </c>
      <c r="M1086" s="42" t="str">
        <f>VLOOKUP($D1086,Sheet1!$D$5:$F$192,2,TRUE)</f>
        <v>|\</v>
      </c>
      <c r="N1086" s="23">
        <f>FLOOR(VLOOKUP($D1086,Sheet1!$G$5:$I$192,3,TRUE),1)</f>
        <v>16</v>
      </c>
      <c r="O1086" s="42" t="str">
        <f>VLOOKUP($D1086,Sheet1!$G$5:$I$192,2,TRUE)</f>
        <v>|\</v>
      </c>
      <c r="P1086" s="23">
        <v>1</v>
      </c>
      <c r="Q1086" s="43" t="str">
        <f>VLOOKUP($D1086,Sheet1!$J$5:$L$192,2,TRUE)</f>
        <v>|\'</v>
      </c>
      <c r="R1086" s="23">
        <f>FLOOR(VLOOKUP($D1086,Sheet1!$M$5:$O$192,3,TRUE),1)</f>
        <v>66</v>
      </c>
      <c r="S1086" s="42" t="str">
        <f>VLOOKUP($D1086,Sheet1!$M$5:$O$192,2,TRUE)</f>
        <v>|\'</v>
      </c>
      <c r="T1086" s="117">
        <f>IF(ABS(D1086-VLOOKUP($D1086,Sheet1!$M$5:$T$192,8,TRUE))&lt;10^-10,"SoCA",D1086-VLOOKUP($D1086,Sheet1!$M$5:$T$192,8,TRUE))</f>
        <v>-0.22182055995217098</v>
      </c>
      <c r="U1086" s="109">
        <f>IF(VLOOKUP($D1086,Sheet1!$M$5:$U$192,9,TRUE)=0,"",IF(ABS(D1086-VLOOKUP($D1086,Sheet1!$M$5:$U$192,9,TRUE))&lt;10^-10,"Alt.",D1086-VLOOKUP($D1086,Sheet1!$M$5:$U$192,9,TRUE)))</f>
        <v>-0.19486026474973528</v>
      </c>
      <c r="V1086" s="132">
        <f>$D1086-Sheet1!$M$3*$R1086</f>
        <v>-0.23507050223740578</v>
      </c>
      <c r="Z1086" s="6"/>
      <c r="AA1086" s="61"/>
    </row>
    <row r="1087" spans="1:27" ht="13.5">
      <c r="A1087" s="23" t="s">
        <v>1409</v>
      </c>
      <c r="B1087" s="23">
        <f>2^18*7</f>
        <v>1835008</v>
      </c>
      <c r="C1087" s="23">
        <f>3^9*5*19</f>
        <v>1869885</v>
      </c>
      <c r="D1087" s="13">
        <f t="shared" si="21"/>
        <v>32.595831316499293</v>
      </c>
      <c r="E1087" s="61">
        <v>19</v>
      </c>
      <c r="F1087" s="65">
        <v>43.37498936228539</v>
      </c>
      <c r="G1087" s="6">
        <v>1325</v>
      </c>
      <c r="H1087" s="6">
        <v>1258</v>
      </c>
      <c r="I1087" s="65">
        <v>6.9929559127642156</v>
      </c>
      <c r="J1087" s="6">
        <f>VLOOKUP($D1087,Sheet1!$A$5:$C$192,3,TRUE)</f>
        <v>6</v>
      </c>
      <c r="K1087" s="42" t="str">
        <f>VLOOKUP($D1087,Sheet1!$A$5:$C$192,2,TRUE)</f>
        <v>(|</v>
      </c>
      <c r="L1087" s="6">
        <f>FLOOR(VLOOKUP($D1087,Sheet1!$D$5:$F$192,3,TRUE),1)</f>
        <v>14</v>
      </c>
      <c r="M1087" s="42" t="str">
        <f>VLOOKUP($D1087,Sheet1!$D$5:$F$192,2,TRUE)</f>
        <v>(|</v>
      </c>
      <c r="N1087" s="23">
        <f>FLOOR(VLOOKUP($D1087,Sheet1!$G$5:$I$192,3,TRUE),1)</f>
        <v>17</v>
      </c>
      <c r="O1087" s="42" t="str">
        <f>VLOOKUP($D1087,Sheet1!$G$5:$I$192,2,TRUE)</f>
        <v>(|</v>
      </c>
      <c r="P1087" s="23">
        <v>1</v>
      </c>
      <c r="Q1087" s="43" t="str">
        <f>VLOOKUP($D1087,Sheet1!$J$5:$L$192,2,TRUE)</f>
        <v>(|.</v>
      </c>
      <c r="R1087" s="23">
        <f>FLOOR(VLOOKUP($D1087,Sheet1!$M$5:$O$192,3,TRUE),1)</f>
        <v>67</v>
      </c>
      <c r="S1087" s="43" t="str">
        <f>VLOOKUP($D1087,Sheet1!$M$5:$O$192,2,TRUE)</f>
        <v>(|.</v>
      </c>
      <c r="T1087" s="117">
        <f>IF(ABS(D1087-VLOOKUP($D1087,Sheet1!$M$5:$T$192,8,TRUE))&lt;10^-10,"SoCA",D1087-VLOOKUP($D1087,Sheet1!$M$5:$T$192,8,TRUE))</f>
        <v>-0.12942354501337405</v>
      </c>
      <c r="U1087" s="117">
        <f>IF(VLOOKUP($D1087,Sheet1!$M$5:$U$192,9,TRUE)=0,"",IF(ABS(D1087-VLOOKUP($D1087,Sheet1!$M$5:$U$192,9,TRUE))&lt;10^-10,"Alt.",D1087-VLOOKUP($D1087,Sheet1!$M$5:$U$192,9,TRUE)))</f>
        <v>-0.15638384021580976</v>
      </c>
      <c r="V1087" s="132">
        <f>$D1087-Sheet1!$M$3*$R1087</f>
        <v>-9.4706906104562449E-2</v>
      </c>
      <c r="Z1087" s="6"/>
      <c r="AA1087" s="61"/>
    </row>
    <row r="1088" spans="1:27" ht="13.5">
      <c r="A1088" s="6" t="s">
        <v>1131</v>
      </c>
      <c r="B1088" s="6">
        <f>2^7*5*19</f>
        <v>12160</v>
      </c>
      <c r="C1088" s="6">
        <f>3^6*17</f>
        <v>12393</v>
      </c>
      <c r="D1088" s="13">
        <f t="shared" si="21"/>
        <v>32.858684695594484</v>
      </c>
      <c r="E1088" s="61">
        <v>19</v>
      </c>
      <c r="F1088" s="65">
        <v>50.028460719989305</v>
      </c>
      <c r="G1088" s="6">
        <v>1040</v>
      </c>
      <c r="H1088" s="6">
        <v>980</v>
      </c>
      <c r="I1088" s="65">
        <v>3.9767710725863274</v>
      </c>
      <c r="J1088" s="6">
        <f>VLOOKUP($D1088,Sheet1!$A$5:$C$192,3,TRUE)</f>
        <v>6</v>
      </c>
      <c r="K1088" s="42" t="str">
        <f>VLOOKUP($D1088,Sheet1!$A$5:$C$192,2,TRUE)</f>
        <v>(|</v>
      </c>
      <c r="L1088" s="6">
        <f>FLOOR(VLOOKUP($D1088,Sheet1!$D$5:$F$192,3,TRUE),1)</f>
        <v>14</v>
      </c>
      <c r="M1088" s="42" t="str">
        <f>VLOOKUP($D1088,Sheet1!$D$5:$F$192,2,TRUE)</f>
        <v>(|</v>
      </c>
      <c r="N1088" s="23">
        <f>FLOOR(VLOOKUP($D1088,Sheet1!$G$5:$I$192,3,TRUE),1)</f>
        <v>17</v>
      </c>
      <c r="O1088" s="42" t="str">
        <f>VLOOKUP($D1088,Sheet1!$G$5:$I$192,2,TRUE)</f>
        <v>(|</v>
      </c>
      <c r="P1088" s="23">
        <v>1</v>
      </c>
      <c r="Q1088" s="43" t="str">
        <f>VLOOKUP($D1088,Sheet1!$J$5:$L$192,2,TRUE)</f>
        <v>(|.</v>
      </c>
      <c r="R1088" s="23">
        <f>FLOOR(VLOOKUP($D1088,Sheet1!$M$5:$O$192,3,TRUE),1)</f>
        <v>67</v>
      </c>
      <c r="S1088" s="42" t="str">
        <f>VLOOKUP($D1088,Sheet1!$M$5:$O$192,2,TRUE)</f>
        <v>(|.</v>
      </c>
      <c r="T1088" s="117">
        <f>IF(ABS(D1088-VLOOKUP($D1088,Sheet1!$M$5:$T$192,8,TRUE))&lt;10^-10,"SoCA",D1088-VLOOKUP($D1088,Sheet1!$M$5:$T$192,8,TRUE))</f>
        <v>0.13342983408181652</v>
      </c>
      <c r="U1088" s="109">
        <f>IF(VLOOKUP($D1088,Sheet1!$M$5:$U$192,9,TRUE)=0,"",IF(ABS(D1088-VLOOKUP($D1088,Sheet1!$M$5:$U$192,9,TRUE))&lt;10^-10,"Alt.",D1088-VLOOKUP($D1088,Sheet1!$M$5:$U$192,9,TRUE)))</f>
        <v>0.10646953887938082</v>
      </c>
      <c r="V1088" s="132">
        <f>$D1088-Sheet1!$M$3*$R1088</f>
        <v>0.16814647299062813</v>
      </c>
      <c r="Z1088" s="6"/>
      <c r="AA1088" s="61"/>
    </row>
    <row r="1089" spans="1:27" ht="13.5">
      <c r="A1089" s="38" t="s">
        <v>737</v>
      </c>
      <c r="B1089" s="38">
        <f>2^4*23</f>
        <v>368</v>
      </c>
      <c r="C1089" s="38">
        <f>3*5^3</f>
        <v>375</v>
      </c>
      <c r="D1089" s="13">
        <f t="shared" si="21"/>
        <v>32.621795191476473</v>
      </c>
      <c r="E1089" s="61">
        <v>23</v>
      </c>
      <c r="F1089" s="65">
        <v>53.240879192421779</v>
      </c>
      <c r="G1089" s="6">
        <v>630</v>
      </c>
      <c r="H1089" s="6">
        <v>582</v>
      </c>
      <c r="I1089" s="65">
        <v>-1.0086427776096758</v>
      </c>
      <c r="J1089" s="6">
        <f>VLOOKUP($D1089,Sheet1!$A$5:$C$192,3,TRUE)</f>
        <v>6</v>
      </c>
      <c r="K1089" s="42" t="str">
        <f>VLOOKUP($D1089,Sheet1!$A$5:$C$192,2,TRUE)</f>
        <v>(|</v>
      </c>
      <c r="L1089" s="6">
        <f>FLOOR(VLOOKUP($D1089,Sheet1!$D$5:$F$192,3,TRUE),1)</f>
        <v>14</v>
      </c>
      <c r="M1089" s="42" t="str">
        <f>VLOOKUP($D1089,Sheet1!$D$5:$F$192,2,TRUE)</f>
        <v>(|</v>
      </c>
      <c r="N1089" s="23">
        <f>FLOOR(VLOOKUP($D1089,Sheet1!$G$5:$I$192,3,TRUE),1)</f>
        <v>17</v>
      </c>
      <c r="O1089" s="42" t="str">
        <f>VLOOKUP($D1089,Sheet1!$G$5:$I$192,2,TRUE)</f>
        <v>(|</v>
      </c>
      <c r="P1089" s="23">
        <v>1</v>
      </c>
      <c r="Q1089" s="45" t="str">
        <f>VLOOKUP($D1089,Sheet1!$J$5:$L$192,2,TRUE)</f>
        <v>(|.</v>
      </c>
      <c r="R1089" s="38">
        <f>FLOOR(VLOOKUP($D1089,Sheet1!$M$5:$O$192,3,TRUE),1)</f>
        <v>67</v>
      </c>
      <c r="S1089" s="45" t="str">
        <f>VLOOKUP($D1089,Sheet1!$M$5:$O$192,2,TRUE)</f>
        <v>(|.</v>
      </c>
      <c r="T1089" s="108">
        <f>IF(ABS(D1089-VLOOKUP($D1089,Sheet1!$M$5:$T$192,8,TRUE))&lt;10^-10,"SoCA",D1089-VLOOKUP($D1089,Sheet1!$M$5:$T$192,8,TRUE))</f>
        <v>-0.1034596700361945</v>
      </c>
      <c r="U1089" s="108">
        <f>IF(VLOOKUP($D1089,Sheet1!$M$5:$U$192,9,TRUE)=0,"",IF(ABS(D1089-VLOOKUP($D1089,Sheet1!$M$5:$U$192,9,TRUE))&lt;10^-10,"Alt.",D1089-VLOOKUP($D1089,Sheet1!$M$5:$U$192,9,TRUE)))</f>
        <v>-0.1304199652386302</v>
      </c>
      <c r="V1089" s="133">
        <f>$D1089-Sheet1!$M$3*$R1089</f>
        <v>-6.8743031127382892E-2</v>
      </c>
      <c r="Z1089" s="6"/>
      <c r="AA1089" s="61"/>
    </row>
    <row r="1090" spans="1:27" ht="13.5">
      <c r="A1090" t="s">
        <v>621</v>
      </c>
      <c r="B1090">
        <v>2464</v>
      </c>
      <c r="C1090">
        <v>2511</v>
      </c>
      <c r="D1090" s="13">
        <f t="shared" si="21"/>
        <v>32.711727091918291</v>
      </c>
      <c r="E1090" s="61">
        <v>31</v>
      </c>
      <c r="F1090" s="65">
        <v>59.016779843411136</v>
      </c>
      <c r="G1090" s="6">
        <v>515</v>
      </c>
      <c r="H1090" s="6">
        <v>466</v>
      </c>
      <c r="I1090" s="65">
        <v>1.98581978764037</v>
      </c>
      <c r="J1090" s="6">
        <f>VLOOKUP($D1090,Sheet1!$A$5:$C$192,3,TRUE)</f>
        <v>6</v>
      </c>
      <c r="K1090" s="42" t="str">
        <f>VLOOKUP($D1090,Sheet1!$A$5:$C$192,2,TRUE)</f>
        <v>(|</v>
      </c>
      <c r="L1090" s="6">
        <f>FLOOR(VLOOKUP($D1090,Sheet1!$D$5:$F$192,3,TRUE),1)</f>
        <v>14</v>
      </c>
      <c r="M1090" s="42" t="str">
        <f>VLOOKUP($D1090,Sheet1!$D$5:$F$192,2,TRUE)</f>
        <v>(|</v>
      </c>
      <c r="N1090" s="23">
        <f>FLOOR(VLOOKUP($D1090,Sheet1!$G$5:$I$192,3,TRUE),1)</f>
        <v>17</v>
      </c>
      <c r="O1090" s="42" t="str">
        <f>VLOOKUP($D1090,Sheet1!$G$5:$I$192,2,TRUE)</f>
        <v>(|</v>
      </c>
      <c r="P1090" s="23">
        <v>1</v>
      </c>
      <c r="Q1090" s="43" t="str">
        <f>VLOOKUP($D1090,Sheet1!$J$5:$L$192,2,TRUE)</f>
        <v>(|.</v>
      </c>
      <c r="R1090" s="23">
        <f>FLOOR(VLOOKUP($D1090,Sheet1!$M$5:$O$192,3,TRUE),1)</f>
        <v>67</v>
      </c>
      <c r="S1090" s="42" t="str">
        <f>VLOOKUP($D1090,Sheet1!$M$5:$O$192,2,TRUE)</f>
        <v>(|.</v>
      </c>
      <c r="T1090" s="117">
        <f>IF(ABS(D1090-VLOOKUP($D1090,Sheet1!$M$5:$T$192,8,TRUE))&lt;10^-10,"SoCA",D1090-VLOOKUP($D1090,Sheet1!$M$5:$T$192,8,TRUE))</f>
        <v>-1.3527769594375627E-2</v>
      </c>
      <c r="U1090" s="109">
        <f>IF(VLOOKUP($D1090,Sheet1!$M$5:$U$192,9,TRUE)=0,"",IF(ABS(D1090-VLOOKUP($D1090,Sheet1!$M$5:$U$192,9,TRUE))&lt;10^-10,"Alt.",D1090-VLOOKUP($D1090,Sheet1!$M$5:$U$192,9,TRUE)))</f>
        <v>-4.0488064796811329E-2</v>
      </c>
      <c r="V1090" s="132">
        <f>$D1090-Sheet1!$M$3*$R1090</f>
        <v>2.1188869314435976E-2</v>
      </c>
      <c r="Z1090" s="6"/>
      <c r="AA1090" s="61"/>
    </row>
    <row r="1091" spans="1:27" ht="13.5">
      <c r="A1091" t="s">
        <v>690</v>
      </c>
      <c r="B1091">
        <v>37179</v>
      </c>
      <c r="C1091">
        <v>37888</v>
      </c>
      <c r="D1091" s="13">
        <f t="shared" si="21"/>
        <v>32.703623196620455</v>
      </c>
      <c r="E1091" s="61">
        <v>37</v>
      </c>
      <c r="F1091" s="65">
        <v>61.170125002132529</v>
      </c>
      <c r="G1091" s="6">
        <v>411</v>
      </c>
      <c r="H1091" s="6">
        <v>535</v>
      </c>
      <c r="I1091" s="65">
        <v>-9.0136812260020438</v>
      </c>
      <c r="J1091" s="6">
        <f>VLOOKUP($D1091,Sheet1!$A$5:$C$192,3,TRUE)</f>
        <v>6</v>
      </c>
      <c r="K1091" s="42" t="str">
        <f>VLOOKUP($D1091,Sheet1!$A$5:$C$192,2,TRUE)</f>
        <v>(|</v>
      </c>
      <c r="L1091" s="6">
        <f>FLOOR(VLOOKUP($D1091,Sheet1!$D$5:$F$192,3,TRUE),1)</f>
        <v>14</v>
      </c>
      <c r="M1091" s="42" t="str">
        <f>VLOOKUP($D1091,Sheet1!$D$5:$F$192,2,TRUE)</f>
        <v>(|</v>
      </c>
      <c r="N1091" s="23">
        <f>FLOOR(VLOOKUP($D1091,Sheet1!$G$5:$I$192,3,TRUE),1)</f>
        <v>17</v>
      </c>
      <c r="O1091" s="42" t="str">
        <f>VLOOKUP($D1091,Sheet1!$G$5:$I$192,2,TRUE)</f>
        <v>(|</v>
      </c>
      <c r="P1091" s="23">
        <v>1</v>
      </c>
      <c r="Q1091" s="43" t="str">
        <f>VLOOKUP($D1091,Sheet1!$J$5:$L$192,2,TRUE)</f>
        <v>(|.</v>
      </c>
      <c r="R1091" s="23">
        <f>FLOOR(VLOOKUP($D1091,Sheet1!$M$5:$O$192,3,TRUE),1)</f>
        <v>67</v>
      </c>
      <c r="S1091" s="42" t="str">
        <f>VLOOKUP($D1091,Sheet1!$M$5:$O$192,2,TRUE)</f>
        <v>(|.</v>
      </c>
      <c r="T1091" s="117">
        <f>IF(ABS(D1091-VLOOKUP($D1091,Sheet1!$M$5:$T$192,8,TRUE))&lt;10^-10,"SoCA",D1091-VLOOKUP($D1091,Sheet1!$M$5:$T$192,8,TRUE))</f>
        <v>-2.1631664892211688E-2</v>
      </c>
      <c r="U1091" s="109">
        <f>IF(VLOOKUP($D1091,Sheet1!$M$5:$U$192,9,TRUE)=0,"",IF(ABS(D1091-VLOOKUP($D1091,Sheet1!$M$5:$U$192,9,TRUE))&lt;10^-10,"Alt.",D1091-VLOOKUP($D1091,Sheet1!$M$5:$U$192,9,TRUE)))</f>
        <v>-4.8591960094647391E-2</v>
      </c>
      <c r="V1091" s="132">
        <f>$D1091-Sheet1!$M$3*$R1091</f>
        <v>1.3084974016599915E-2</v>
      </c>
      <c r="Z1091" s="6"/>
      <c r="AA1091" s="61"/>
    </row>
    <row r="1092" spans="1:27" ht="13.5">
      <c r="A1092" s="6" t="s">
        <v>609</v>
      </c>
      <c r="B1092" s="6">
        <f>3^5*5*7*11^2</f>
        <v>1029105</v>
      </c>
      <c r="C1092" s="6">
        <f>2^20</f>
        <v>1048576</v>
      </c>
      <c r="D1092" s="13">
        <f t="shared" ref="D1092:D1123" si="22">1200*LN($C1092/$B1092)/LN(2)</f>
        <v>32.44949060958988</v>
      </c>
      <c r="E1092" s="61">
        <v>11</v>
      </c>
      <c r="F1092" s="65">
        <v>62.781980672190372</v>
      </c>
      <c r="G1092" s="6">
        <v>426</v>
      </c>
      <c r="H1092" s="6">
        <v>454</v>
      </c>
      <c r="I1092" s="65">
        <v>-6.9980333567631501</v>
      </c>
      <c r="J1092" s="6">
        <f>VLOOKUP($D1092,Sheet1!$A$5:$C$192,3,TRUE)</f>
        <v>6</v>
      </c>
      <c r="K1092" s="42" t="str">
        <f>VLOOKUP($D1092,Sheet1!$A$5:$C$192,2,TRUE)</f>
        <v>(|</v>
      </c>
      <c r="L1092" s="6">
        <f>FLOOR(VLOOKUP($D1092,Sheet1!$D$5:$F$192,3,TRUE),1)</f>
        <v>14</v>
      </c>
      <c r="M1092" s="42" t="str">
        <f>VLOOKUP($D1092,Sheet1!$D$5:$F$192,2,TRUE)</f>
        <v>(|</v>
      </c>
      <c r="N1092" s="23">
        <f>FLOOR(VLOOKUP($D1092,Sheet1!$G$5:$I$192,3,TRUE),1)</f>
        <v>17</v>
      </c>
      <c r="O1092" s="42" t="str">
        <f>VLOOKUP($D1092,Sheet1!$G$5:$I$192,2,TRUE)</f>
        <v>(|</v>
      </c>
      <c r="P1092" s="23">
        <v>1</v>
      </c>
      <c r="Q1092" s="43" t="str">
        <f>VLOOKUP($D1092,Sheet1!$J$5:$L$192,2,TRUE)</f>
        <v>(|.</v>
      </c>
      <c r="R1092" s="23">
        <f>FLOOR(VLOOKUP($D1092,Sheet1!$M$5:$O$192,3,TRUE),1)</f>
        <v>67</v>
      </c>
      <c r="S1092" s="42" t="str">
        <f>VLOOKUP($D1092,Sheet1!$M$5:$O$192,2,TRUE)</f>
        <v>(|.</v>
      </c>
      <c r="T1092" s="117">
        <f>IF(ABS(D1092-VLOOKUP($D1092,Sheet1!$M$5:$T$192,8,TRUE))&lt;10^-10,"SoCA",D1092-VLOOKUP($D1092,Sheet1!$M$5:$T$192,8,TRUE))</f>
        <v>-0.2757642519227872</v>
      </c>
      <c r="U1092" s="109">
        <f>IF(VLOOKUP($D1092,Sheet1!$M$5:$U$192,9,TRUE)=0,"",IF(ABS(D1092-VLOOKUP($D1092,Sheet1!$M$5:$U$192,9,TRUE))&lt;10^-10,"Alt.",D1092-VLOOKUP($D1092,Sheet1!$M$5:$U$192,9,TRUE)))</f>
        <v>-0.3027245471252229</v>
      </c>
      <c r="V1092" s="132">
        <f>$D1092-Sheet1!$M$3*$R1092</f>
        <v>-0.24104761301397559</v>
      </c>
      <c r="Z1092" s="6"/>
      <c r="AA1092" s="61"/>
    </row>
    <row r="1093" spans="1:27" ht="13.5">
      <c r="A1093" s="21" t="s">
        <v>478</v>
      </c>
      <c r="B1093" s="21">
        <f>3*5^3*7^3</f>
        <v>128625</v>
      </c>
      <c r="C1093" s="21">
        <f>2^17</f>
        <v>131072</v>
      </c>
      <c r="D1093" s="13">
        <f t="shared" si="22"/>
        <v>32.62613813273326</v>
      </c>
      <c r="E1093" s="61">
        <v>7</v>
      </c>
      <c r="F1093" s="65">
        <v>79.300973041081775</v>
      </c>
      <c r="G1093" s="6">
        <v>344</v>
      </c>
      <c r="H1093" s="6">
        <v>316</v>
      </c>
      <c r="I1093" s="65">
        <v>-3.0089101883250526</v>
      </c>
      <c r="J1093" s="6">
        <f>VLOOKUP($D1093,Sheet1!$A$5:$C$192,3,TRUE)</f>
        <v>6</v>
      </c>
      <c r="K1093" s="42" t="str">
        <f>VLOOKUP($D1093,Sheet1!$A$5:$C$192,2,TRUE)</f>
        <v>(|</v>
      </c>
      <c r="L1093" s="6">
        <f>FLOOR(VLOOKUP($D1093,Sheet1!$D$5:$F$192,3,TRUE),1)</f>
        <v>14</v>
      </c>
      <c r="M1093" s="42" t="str">
        <f>VLOOKUP($D1093,Sheet1!$D$5:$F$192,2,TRUE)</f>
        <v>(|</v>
      </c>
      <c r="N1093" s="23">
        <f>FLOOR(VLOOKUP($D1093,Sheet1!$G$5:$I$192,3,TRUE),1)</f>
        <v>17</v>
      </c>
      <c r="O1093" s="42" t="str">
        <f>VLOOKUP($D1093,Sheet1!$G$5:$I$192,2,TRUE)</f>
        <v>(|</v>
      </c>
      <c r="P1093" s="23">
        <v>1</v>
      </c>
      <c r="Q1093" s="43" t="str">
        <f>VLOOKUP($D1093,Sheet1!$J$5:$L$192,2,TRUE)</f>
        <v>(|.</v>
      </c>
      <c r="R1093" s="23">
        <f>FLOOR(VLOOKUP($D1093,Sheet1!$M$5:$O$192,3,TRUE),1)</f>
        <v>67</v>
      </c>
      <c r="S1093" s="43" t="str">
        <f>VLOOKUP($D1093,Sheet1!$M$5:$O$192,2,TRUE)</f>
        <v>(|.</v>
      </c>
      <c r="T1093" s="117">
        <f>IF(ABS(D1093-VLOOKUP($D1093,Sheet1!$M$5:$T$192,8,TRUE))&lt;10^-10,"SoCA",D1093-VLOOKUP($D1093,Sheet1!$M$5:$T$192,8,TRUE))</f>
        <v>-9.9116728779407026E-2</v>
      </c>
      <c r="U1093" s="109">
        <f>IF(VLOOKUP($D1093,Sheet1!$M$5:$U$192,9,TRUE)=0,"",IF(ABS(D1093-VLOOKUP($D1093,Sheet1!$M$5:$U$192,9,TRUE))&lt;10^-10,"Alt.",D1093-VLOOKUP($D1093,Sheet1!$M$5:$U$192,9,TRUE)))</f>
        <v>-0.12607702398184273</v>
      </c>
      <c r="V1093" s="132">
        <f>$D1093-Sheet1!$M$3*$R1093</f>
        <v>-6.4400089870595423E-2</v>
      </c>
      <c r="Z1093" s="6"/>
      <c r="AA1093" s="61"/>
    </row>
    <row r="1094" spans="1:27" ht="13.5">
      <c r="A1094" t="s">
        <v>700</v>
      </c>
      <c r="B1094">
        <v>369</v>
      </c>
      <c r="C1094">
        <v>376</v>
      </c>
      <c r="D1094" s="13">
        <f t="shared" si="22"/>
        <v>32.534214740689563</v>
      </c>
      <c r="E1094" s="61">
        <v>47</v>
      </c>
      <c r="F1094" s="65">
        <v>88.249030226052383</v>
      </c>
      <c r="G1094" s="6">
        <v>586</v>
      </c>
      <c r="H1094" s="6">
        <v>545</v>
      </c>
      <c r="I1094" s="65">
        <v>-4.0032501301817724</v>
      </c>
      <c r="J1094" s="6">
        <f>VLOOKUP($D1094,Sheet1!$A$5:$C$192,3,TRUE)</f>
        <v>6</v>
      </c>
      <c r="K1094" s="42" t="str">
        <f>VLOOKUP($D1094,Sheet1!$A$5:$C$192,2,TRUE)</f>
        <v>(|</v>
      </c>
      <c r="L1094" s="6">
        <f>FLOOR(VLOOKUP($D1094,Sheet1!$D$5:$F$192,3,TRUE),1)</f>
        <v>14</v>
      </c>
      <c r="M1094" s="42" t="str">
        <f>VLOOKUP($D1094,Sheet1!$D$5:$F$192,2,TRUE)</f>
        <v>(|</v>
      </c>
      <c r="N1094" s="23">
        <f>FLOOR(VLOOKUP($D1094,Sheet1!$G$5:$I$192,3,TRUE),1)</f>
        <v>17</v>
      </c>
      <c r="O1094" s="42" t="str">
        <f>VLOOKUP($D1094,Sheet1!$G$5:$I$192,2,TRUE)</f>
        <v>(|</v>
      </c>
      <c r="P1094" s="23">
        <v>1</v>
      </c>
      <c r="Q1094" s="43" t="str">
        <f>VLOOKUP($D1094,Sheet1!$J$5:$L$192,2,TRUE)</f>
        <v>(|.</v>
      </c>
      <c r="R1094" s="23">
        <f>FLOOR(VLOOKUP($D1094,Sheet1!$M$5:$O$192,3,TRUE),1)</f>
        <v>67</v>
      </c>
      <c r="S1094" s="42" t="str">
        <f>VLOOKUP($D1094,Sheet1!$M$5:$O$192,2,TRUE)</f>
        <v>(|.</v>
      </c>
      <c r="T1094" s="117">
        <f>IF(ABS(D1094-VLOOKUP($D1094,Sheet1!$M$5:$T$192,8,TRUE))&lt;10^-10,"SoCA",D1094-VLOOKUP($D1094,Sheet1!$M$5:$T$192,8,TRUE))</f>
        <v>-0.19104012082310362</v>
      </c>
      <c r="U1094" s="109">
        <f>IF(VLOOKUP($D1094,Sheet1!$M$5:$U$192,9,TRUE)=0,"",IF(ABS(D1094-VLOOKUP($D1094,Sheet1!$M$5:$U$192,9,TRUE))&lt;10^-10,"Alt.",D1094-VLOOKUP($D1094,Sheet1!$M$5:$U$192,9,TRUE)))</f>
        <v>-0.21800041602553932</v>
      </c>
      <c r="V1094" s="132">
        <f>$D1094-Sheet1!$M$3*$R1094</f>
        <v>-0.15632348191429202</v>
      </c>
      <c r="Z1094" s="6"/>
      <c r="AA1094" s="61"/>
    </row>
    <row r="1095" spans="1:27" ht="13.5">
      <c r="A1095" t="s">
        <v>1023</v>
      </c>
      <c r="B1095">
        <v>17408</v>
      </c>
      <c r="C1095">
        <v>17739</v>
      </c>
      <c r="D1095" s="13">
        <f t="shared" si="22"/>
        <v>32.60906548255052</v>
      </c>
      <c r="E1095" s="61" t="s">
        <v>1931</v>
      </c>
      <c r="F1095" s="65">
        <v>90.499048958689144</v>
      </c>
      <c r="G1095" s="6">
        <v>942</v>
      </c>
      <c r="H1095" s="6">
        <v>871</v>
      </c>
      <c r="I1095" s="65">
        <v>2.9921410369457497</v>
      </c>
      <c r="J1095" s="6">
        <f>VLOOKUP($D1095,Sheet1!$A$5:$C$192,3,TRUE)</f>
        <v>6</v>
      </c>
      <c r="K1095" s="42" t="str">
        <f>VLOOKUP($D1095,Sheet1!$A$5:$C$192,2,TRUE)</f>
        <v>(|</v>
      </c>
      <c r="L1095" s="6">
        <f>FLOOR(VLOOKUP($D1095,Sheet1!$D$5:$F$192,3,TRUE),1)</f>
        <v>14</v>
      </c>
      <c r="M1095" s="42" t="str">
        <f>VLOOKUP($D1095,Sheet1!$D$5:$F$192,2,TRUE)</f>
        <v>(|</v>
      </c>
      <c r="N1095" s="23">
        <f>FLOOR(VLOOKUP($D1095,Sheet1!$G$5:$I$192,3,TRUE),1)</f>
        <v>17</v>
      </c>
      <c r="O1095" s="42" t="str">
        <f>VLOOKUP($D1095,Sheet1!$G$5:$I$192,2,TRUE)</f>
        <v>(|</v>
      </c>
      <c r="P1095" s="23">
        <v>1</v>
      </c>
      <c r="Q1095" s="43" t="str">
        <f>VLOOKUP($D1095,Sheet1!$J$5:$L$192,2,TRUE)</f>
        <v>(|.</v>
      </c>
      <c r="R1095" s="23">
        <f>FLOOR(VLOOKUP($D1095,Sheet1!$M$5:$O$192,3,TRUE),1)</f>
        <v>67</v>
      </c>
      <c r="S1095" s="42" t="str">
        <f>VLOOKUP($D1095,Sheet1!$M$5:$O$192,2,TRUE)</f>
        <v>(|.</v>
      </c>
      <c r="T1095" s="117">
        <f>IF(ABS(D1095-VLOOKUP($D1095,Sheet1!$M$5:$T$192,8,TRUE))&lt;10^-10,"SoCA",D1095-VLOOKUP($D1095,Sheet1!$M$5:$T$192,8,TRUE))</f>
        <v>-0.11618937896214732</v>
      </c>
      <c r="U1095" s="109">
        <f>IF(VLOOKUP($D1095,Sheet1!$M$5:$U$192,9,TRUE)=0,"",IF(ABS(D1095-VLOOKUP($D1095,Sheet1!$M$5:$U$192,9,TRUE))&lt;10^-10,"Alt.",D1095-VLOOKUP($D1095,Sheet1!$M$5:$U$192,9,TRUE)))</f>
        <v>-0.14314967416458302</v>
      </c>
      <c r="V1095" s="132">
        <f>$D1095-Sheet1!$M$3*$R1095</f>
        <v>-8.1472740053335713E-2</v>
      </c>
      <c r="Z1095" s="6"/>
      <c r="AA1095" s="61"/>
    </row>
    <row r="1096" spans="1:27" ht="13.5">
      <c r="A1096" t="s">
        <v>613</v>
      </c>
      <c r="B1096">
        <v>5589</v>
      </c>
      <c r="C1096">
        <v>5696</v>
      </c>
      <c r="D1096" s="13">
        <f t="shared" si="22"/>
        <v>32.830765564324665</v>
      </c>
      <c r="E1096" s="61" t="s">
        <v>1931</v>
      </c>
      <c r="F1096" s="65">
        <v>114.11827674142073</v>
      </c>
      <c r="G1096" s="6">
        <v>427</v>
      </c>
      <c r="H1096" s="6">
        <v>458</v>
      </c>
      <c r="I1096" s="65">
        <v>-7.0215098447864568</v>
      </c>
      <c r="J1096" s="6">
        <f>VLOOKUP($D1096,Sheet1!$A$5:$C$192,3,TRUE)</f>
        <v>6</v>
      </c>
      <c r="K1096" s="42" t="str">
        <f>VLOOKUP($D1096,Sheet1!$A$5:$C$192,2,TRUE)</f>
        <v>(|</v>
      </c>
      <c r="L1096" s="6">
        <f>FLOOR(VLOOKUP($D1096,Sheet1!$D$5:$F$192,3,TRUE),1)</f>
        <v>14</v>
      </c>
      <c r="M1096" s="42" t="str">
        <f>VLOOKUP($D1096,Sheet1!$D$5:$F$192,2,TRUE)</f>
        <v>(|</v>
      </c>
      <c r="N1096" s="23">
        <f>FLOOR(VLOOKUP($D1096,Sheet1!$G$5:$I$192,3,TRUE),1)</f>
        <v>17</v>
      </c>
      <c r="O1096" s="42" t="str">
        <f>VLOOKUP($D1096,Sheet1!$G$5:$I$192,2,TRUE)</f>
        <v>(|</v>
      </c>
      <c r="P1096" s="23">
        <v>1</v>
      </c>
      <c r="Q1096" s="43" t="str">
        <f>VLOOKUP($D1096,Sheet1!$J$5:$L$192,2,TRUE)</f>
        <v>(|.</v>
      </c>
      <c r="R1096" s="23">
        <f>FLOOR(VLOOKUP($D1096,Sheet1!$M$5:$O$192,3,TRUE),1)</f>
        <v>67</v>
      </c>
      <c r="S1096" s="42" t="str">
        <f>VLOOKUP($D1096,Sheet1!$M$5:$O$192,2,TRUE)</f>
        <v>(|.</v>
      </c>
      <c r="T1096" s="117">
        <f>IF(ABS(D1096-VLOOKUP($D1096,Sheet1!$M$5:$T$192,8,TRUE))&lt;10^-10,"SoCA",D1096-VLOOKUP($D1096,Sheet1!$M$5:$T$192,8,TRUE))</f>
        <v>0.1055107028119977</v>
      </c>
      <c r="U1096" s="109">
        <f>IF(VLOOKUP($D1096,Sheet1!$M$5:$U$192,9,TRUE)=0,"",IF(ABS(D1096-VLOOKUP($D1096,Sheet1!$M$5:$U$192,9,TRUE))&lt;10^-10,"Alt.",D1096-VLOOKUP($D1096,Sheet1!$M$5:$U$192,9,TRUE)))</f>
        <v>7.8550407609562001E-2</v>
      </c>
      <c r="V1096" s="132">
        <f>$D1096-Sheet1!$M$3*$R1096</f>
        <v>0.14022734172080931</v>
      </c>
      <c r="Z1096" s="6"/>
      <c r="AA1096" s="61"/>
    </row>
    <row r="1097" spans="1:27" ht="13.5">
      <c r="A1097" t="s">
        <v>991</v>
      </c>
      <c r="B1097">
        <v>3997696</v>
      </c>
      <c r="C1097">
        <v>4074381</v>
      </c>
      <c r="D1097" s="13">
        <f t="shared" si="22"/>
        <v>32.894551712213655</v>
      </c>
      <c r="E1097" s="61" t="s">
        <v>1931</v>
      </c>
      <c r="F1097" s="65">
        <v>115.38689516479573</v>
      </c>
      <c r="G1097" s="6">
        <v>595</v>
      </c>
      <c r="H1097" s="6">
        <v>839</v>
      </c>
      <c r="I1097" s="65">
        <v>8.9745626097024296</v>
      </c>
      <c r="J1097" s="6">
        <f>VLOOKUP($D1097,Sheet1!$A$5:$C$192,3,TRUE)</f>
        <v>6</v>
      </c>
      <c r="K1097" s="42" t="str">
        <f>VLOOKUP($D1097,Sheet1!$A$5:$C$192,2,TRUE)</f>
        <v>(|</v>
      </c>
      <c r="L1097" s="6">
        <f>FLOOR(VLOOKUP($D1097,Sheet1!$D$5:$F$192,3,TRUE),1)</f>
        <v>14</v>
      </c>
      <c r="M1097" s="42" t="str">
        <f>VLOOKUP($D1097,Sheet1!$D$5:$F$192,2,TRUE)</f>
        <v>(|</v>
      </c>
      <c r="N1097" s="23">
        <f>FLOOR(VLOOKUP($D1097,Sheet1!$G$5:$I$192,3,TRUE),1)</f>
        <v>17</v>
      </c>
      <c r="O1097" s="42" t="str">
        <f>VLOOKUP($D1097,Sheet1!$G$5:$I$192,2,TRUE)</f>
        <v>(|</v>
      </c>
      <c r="P1097" s="23">
        <v>1</v>
      </c>
      <c r="Q1097" s="43" t="str">
        <f>VLOOKUP($D1097,Sheet1!$J$5:$L$192,2,TRUE)</f>
        <v>(|.</v>
      </c>
      <c r="R1097" s="23">
        <f>FLOOR(VLOOKUP($D1097,Sheet1!$M$5:$O$192,3,TRUE),1)</f>
        <v>67</v>
      </c>
      <c r="S1097" s="42" t="str">
        <f>VLOOKUP($D1097,Sheet1!$M$5:$O$192,2,TRUE)</f>
        <v>(|.</v>
      </c>
      <c r="T1097" s="117">
        <f>IF(ABS(D1097-VLOOKUP($D1097,Sheet1!$M$5:$T$192,8,TRUE))&lt;10^-10,"SoCA",D1097-VLOOKUP($D1097,Sheet1!$M$5:$T$192,8,TRUE))</f>
        <v>0.16929685070098799</v>
      </c>
      <c r="U1097" s="109">
        <f>IF(VLOOKUP($D1097,Sheet1!$M$5:$U$192,9,TRUE)=0,"",IF(ABS(D1097-VLOOKUP($D1097,Sheet1!$M$5:$U$192,9,TRUE))&lt;10^-10,"Alt.",D1097-VLOOKUP($D1097,Sheet1!$M$5:$U$192,9,TRUE)))</f>
        <v>0.14233655549855229</v>
      </c>
      <c r="V1097" s="132">
        <f>$D1097-Sheet1!$M$3*$R1097</f>
        <v>0.20401348960979959</v>
      </c>
      <c r="Z1097" s="6"/>
      <c r="AA1097" s="61"/>
    </row>
    <row r="1098" spans="1:27" ht="13.5">
      <c r="A1098" s="6" t="s">
        <v>1823</v>
      </c>
      <c r="B1098">
        <v>570807</v>
      </c>
      <c r="C1098">
        <v>581632</v>
      </c>
      <c r="D1098" s="13">
        <f t="shared" si="22"/>
        <v>32.524341464045058</v>
      </c>
      <c r="E1098" s="61" t="s">
        <v>1931</v>
      </c>
      <c r="F1098" s="65">
        <v>132.75145565475117</v>
      </c>
      <c r="G1098" s="59">
        <v>1450</v>
      </c>
      <c r="H1098" s="63">
        <v>1000028</v>
      </c>
      <c r="I1098" s="65">
        <v>-11.002642196568464</v>
      </c>
      <c r="J1098" s="6">
        <f>VLOOKUP($D1098,Sheet1!$A$5:$C$192,3,TRUE)</f>
        <v>6</v>
      </c>
      <c r="K1098" s="42" t="str">
        <f>VLOOKUP($D1098,Sheet1!$A$5:$C$192,2,TRUE)</f>
        <v>(|</v>
      </c>
      <c r="L1098" s="6">
        <f>FLOOR(VLOOKUP($D1098,Sheet1!$D$5:$F$192,3,TRUE),1)</f>
        <v>14</v>
      </c>
      <c r="M1098" s="42" t="str">
        <f>VLOOKUP($D1098,Sheet1!$D$5:$F$192,2,TRUE)</f>
        <v>(|</v>
      </c>
      <c r="N1098" s="23">
        <f>FLOOR(VLOOKUP($D1098,Sheet1!$G$5:$I$192,3,TRUE),1)</f>
        <v>17</v>
      </c>
      <c r="O1098" s="42" t="str">
        <f>VLOOKUP($D1098,Sheet1!$G$5:$I$192,2,TRUE)</f>
        <v>(|</v>
      </c>
      <c r="P1098" s="23">
        <v>1</v>
      </c>
      <c r="Q1098" s="43" t="str">
        <f>VLOOKUP($D1098,Sheet1!$J$5:$L$192,2,TRUE)</f>
        <v>(|.</v>
      </c>
      <c r="R1098" s="23">
        <f>FLOOR(VLOOKUP($D1098,Sheet1!$M$5:$O$192,3,TRUE),1)</f>
        <v>67</v>
      </c>
      <c r="S1098" s="42" t="str">
        <f>VLOOKUP($D1098,Sheet1!$M$5:$O$192,2,TRUE)</f>
        <v>(|.</v>
      </c>
      <c r="T1098" s="117">
        <f>IF(ABS(D1098-VLOOKUP($D1098,Sheet1!$M$5:$T$192,8,TRUE))&lt;10^-10,"SoCA",D1098-VLOOKUP($D1098,Sheet1!$M$5:$T$192,8,TRUE))</f>
        <v>-0.20091339746760895</v>
      </c>
      <c r="U1098" s="109">
        <f>IF(VLOOKUP($D1098,Sheet1!$M$5:$U$192,9,TRUE)=0,"",IF(ABS(D1098-VLOOKUP($D1098,Sheet1!$M$5:$U$192,9,TRUE))&lt;10^-10,"Alt.",D1098-VLOOKUP($D1098,Sheet1!$M$5:$U$192,9,TRUE)))</f>
        <v>-0.22787369267004465</v>
      </c>
      <c r="V1098" s="132">
        <f>$D1098-Sheet1!$M$3*$R1098</f>
        <v>-0.16619675855879734</v>
      </c>
      <c r="Z1098" s="6"/>
      <c r="AA1098" s="61"/>
    </row>
    <row r="1099" spans="1:27" ht="13.5">
      <c r="A1099" t="s">
        <v>1027</v>
      </c>
      <c r="B1099">
        <v>402653184</v>
      </c>
      <c r="C1099">
        <v>410338673</v>
      </c>
      <c r="D1099" s="13">
        <f t="shared" si="22"/>
        <v>32.732865637463483</v>
      </c>
      <c r="E1099" s="61">
        <v>17</v>
      </c>
      <c r="F1099" s="65">
        <v>285.73360958741466</v>
      </c>
      <c r="G1099" s="6">
        <v>946</v>
      </c>
      <c r="H1099" s="6">
        <v>875</v>
      </c>
      <c r="I1099" s="65">
        <v>-3.015481789620762</v>
      </c>
      <c r="J1099" s="6">
        <f>VLOOKUP($D1099,Sheet1!$A$5:$C$192,3,TRUE)</f>
        <v>6</v>
      </c>
      <c r="K1099" s="42" t="str">
        <f>VLOOKUP($D1099,Sheet1!$A$5:$C$192,2,TRUE)</f>
        <v>(|</v>
      </c>
      <c r="L1099" s="6">
        <f>FLOOR(VLOOKUP($D1099,Sheet1!$D$5:$F$192,3,TRUE),1)</f>
        <v>14</v>
      </c>
      <c r="M1099" s="42" t="str">
        <f>VLOOKUP($D1099,Sheet1!$D$5:$F$192,2,TRUE)</f>
        <v>(|</v>
      </c>
      <c r="N1099" s="23">
        <f>FLOOR(VLOOKUP($D1099,Sheet1!$G$5:$I$192,3,TRUE),1)</f>
        <v>17</v>
      </c>
      <c r="O1099" s="42" t="str">
        <f>VLOOKUP($D1099,Sheet1!$G$5:$I$192,2,TRUE)</f>
        <v>(|</v>
      </c>
      <c r="P1099" s="23">
        <v>1</v>
      </c>
      <c r="Q1099" s="43" t="str">
        <f>VLOOKUP($D1099,Sheet1!$J$5:$L$192,2,TRUE)</f>
        <v>(|.</v>
      </c>
      <c r="R1099" s="23">
        <f>FLOOR(VLOOKUP($D1099,Sheet1!$M$5:$O$192,3,TRUE),1)</f>
        <v>67</v>
      </c>
      <c r="S1099" s="42" t="str">
        <f>VLOOKUP($D1099,Sheet1!$M$5:$O$192,2,TRUE)</f>
        <v>(|.</v>
      </c>
      <c r="T1099" s="117">
        <f>IF(ABS(D1099-VLOOKUP($D1099,Sheet1!$M$5:$T$192,8,TRUE))&lt;10^-10,"SoCA",D1099-VLOOKUP($D1099,Sheet1!$M$5:$T$192,8,TRUE))</f>
        <v>7.6107759508161621E-3</v>
      </c>
      <c r="U1099" s="109">
        <f>IF(VLOOKUP($D1099,Sheet1!$M$5:$U$192,9,TRUE)=0,"",IF(ABS(D1099-VLOOKUP($D1099,Sheet1!$M$5:$U$192,9,TRUE))&lt;10^-10,"Alt.",D1099-VLOOKUP($D1099,Sheet1!$M$5:$U$192,9,TRUE)))</f>
        <v>-1.934951925161954E-2</v>
      </c>
      <c r="V1099" s="132">
        <f>$D1099-Sheet1!$M$3*$R1099</f>
        <v>4.2327414859627766E-2</v>
      </c>
      <c r="Z1099" s="6"/>
      <c r="AA1099" s="61"/>
    </row>
    <row r="1100" spans="1:27" ht="13.5">
      <c r="A1100" s="6" t="s">
        <v>1863</v>
      </c>
      <c r="B1100">
        <v>20096343</v>
      </c>
      <c r="C1100">
        <v>20480000</v>
      </c>
      <c r="D1100" s="13">
        <f t="shared" si="22"/>
        <v>32.739266617490891</v>
      </c>
      <c r="E1100" s="61" t="s">
        <v>1931</v>
      </c>
      <c r="F1100" s="65">
        <v>1715.1779240254357</v>
      </c>
      <c r="G1100" s="59">
        <v>1697</v>
      </c>
      <c r="H1100" s="63">
        <v>1000068</v>
      </c>
      <c r="I1100" s="65">
        <v>-11.01587592128109</v>
      </c>
      <c r="J1100" s="6">
        <f>VLOOKUP($D1100,Sheet1!$A$5:$C$192,3,TRUE)</f>
        <v>6</v>
      </c>
      <c r="K1100" s="42" t="str">
        <f>VLOOKUP($D1100,Sheet1!$A$5:$C$192,2,TRUE)</f>
        <v>(|</v>
      </c>
      <c r="L1100" s="6">
        <f>FLOOR(VLOOKUP($D1100,Sheet1!$D$5:$F$192,3,TRUE),1)</f>
        <v>14</v>
      </c>
      <c r="M1100" s="42" t="str">
        <f>VLOOKUP($D1100,Sheet1!$D$5:$F$192,2,TRUE)</f>
        <v>(|</v>
      </c>
      <c r="N1100" s="23">
        <f>FLOOR(VLOOKUP($D1100,Sheet1!$G$5:$I$192,3,TRUE),1)</f>
        <v>17</v>
      </c>
      <c r="O1100" s="42" t="str">
        <f>VLOOKUP($D1100,Sheet1!$G$5:$I$192,2,TRUE)</f>
        <v>(|</v>
      </c>
      <c r="P1100" s="23">
        <v>1</v>
      </c>
      <c r="Q1100" s="43" t="str">
        <f>VLOOKUP($D1100,Sheet1!$J$5:$L$192,2,TRUE)</f>
        <v>(|.</v>
      </c>
      <c r="R1100" s="23">
        <f>FLOOR(VLOOKUP($D1100,Sheet1!$M$5:$O$192,3,TRUE),1)</f>
        <v>67</v>
      </c>
      <c r="S1100" s="42" t="str">
        <f>VLOOKUP($D1100,Sheet1!$M$5:$O$192,2,TRUE)</f>
        <v>(|.</v>
      </c>
      <c r="T1100" s="117">
        <f>IF(ABS(D1100-VLOOKUP($D1100,Sheet1!$M$5:$T$192,8,TRUE))&lt;10^-10,"SoCA",D1100-VLOOKUP($D1100,Sheet1!$M$5:$T$192,8,TRUE))</f>
        <v>1.4011755978224016E-2</v>
      </c>
      <c r="U1100" s="109">
        <f>IF(VLOOKUP($D1100,Sheet1!$M$5:$U$192,9,TRUE)=0,"",IF(ABS(D1100-VLOOKUP($D1100,Sheet1!$M$5:$U$192,9,TRUE))&lt;10^-10,"Alt.",D1100-VLOOKUP($D1100,Sheet1!$M$5:$U$192,9,TRUE)))</f>
        <v>-1.2948539224211686E-2</v>
      </c>
      <c r="V1100" s="132">
        <f>$D1100-Sheet1!$M$3*$R1100</f>
        <v>4.872839488703562E-2</v>
      </c>
      <c r="Z1100" s="6"/>
      <c r="AA1100" s="61"/>
    </row>
    <row r="1101" spans="1:27" ht="13.5">
      <c r="A1101" s="80" t="s">
        <v>132</v>
      </c>
      <c r="B1101" s="80">
        <f>2^12*11</f>
        <v>45056</v>
      </c>
      <c r="C1101" s="84">
        <f>3^8*7</f>
        <v>45927</v>
      </c>
      <c r="D1101" s="51">
        <f t="shared" si="22"/>
        <v>33.147971027467491</v>
      </c>
      <c r="E1101" s="61">
        <v>11</v>
      </c>
      <c r="F1101" s="65">
        <v>20.633025320300781</v>
      </c>
      <c r="G1101" s="6">
        <v>24</v>
      </c>
      <c r="H1101" s="6">
        <v>23</v>
      </c>
      <c r="I1101" s="65">
        <v>5.9589586592054182</v>
      </c>
      <c r="J1101" s="81">
        <f>VLOOKUP($D1101,Sheet1!$A$5:$C$192,3,TRUE)</f>
        <v>6</v>
      </c>
      <c r="K1101" s="82" t="str">
        <f>VLOOKUP($D1101,Sheet1!$A$5:$C$192,2,TRUE)</f>
        <v>(|</v>
      </c>
      <c r="L1101" s="81">
        <f>FLOOR(VLOOKUP($D1101,Sheet1!$D$5:$F$192,3,TRUE),1)</f>
        <v>14</v>
      </c>
      <c r="M1101" s="82" t="str">
        <f>VLOOKUP($D1101,Sheet1!$D$5:$F$192,2,TRUE)</f>
        <v>(|</v>
      </c>
      <c r="N1101" s="81">
        <f>FLOOR(VLOOKUP($D1101,Sheet1!$G$5:$I$192,3,TRUE),1)</f>
        <v>17</v>
      </c>
      <c r="O1101" s="82" t="str">
        <f>VLOOKUP($D1101,Sheet1!$G$5:$I$192,2,TRUE)</f>
        <v>(|</v>
      </c>
      <c r="P1101" s="81">
        <v>1</v>
      </c>
      <c r="Q1101" s="82" t="str">
        <f>VLOOKUP($D1101,Sheet1!$J$5:$L$192,2,TRUE)</f>
        <v>(|</v>
      </c>
      <c r="R1101" s="81">
        <f>FLOOR(VLOOKUP($D1101,Sheet1!$M$5:$O$192,3,TRUE),1)</f>
        <v>68</v>
      </c>
      <c r="S1101" s="82" t="str">
        <f>VLOOKUP($D1101,Sheet1!$M$5:$O$192,2,TRUE)</f>
        <v>(|</v>
      </c>
      <c r="T1101" s="111" t="str">
        <f>IF(ABS(D1101-VLOOKUP($D1101,Sheet1!$M$5:$T$192,8,TRUE))&lt;10^-10,"SoCA",D1101-VLOOKUP($D1101,Sheet1!$M$5:$T$192,8,TRUE))</f>
        <v>SoCA</v>
      </c>
      <c r="U1101" s="110" t="str">
        <f>IF(VLOOKUP($D1101,Sheet1!$M$5:$U$192,9,TRUE)=0,"",IF(ABS(D1101-VLOOKUP($D1101,Sheet1!$M$5:$U$192,9,TRUE))&lt;10^-10,"Alt.",D1101-VLOOKUP($D1101,Sheet1!$M$5:$U$192,9,TRUE)))</f>
        <v/>
      </c>
      <c r="V1101" s="135">
        <f>$D1101-Sheet1!$M$3*$R1101</f>
        <v>-3.0485676070753698E-2</v>
      </c>
      <c r="Z1101" s="6"/>
      <c r="AA1101" s="61"/>
    </row>
    <row r="1102" spans="1:27" ht="13.5">
      <c r="A1102" s="6" t="s">
        <v>297</v>
      </c>
      <c r="B1102" s="14">
        <f>3^8*7^2</f>
        <v>321489</v>
      </c>
      <c r="C1102" s="14">
        <f>2^16*5</f>
        <v>327680</v>
      </c>
      <c r="D1102" s="13">
        <f t="shared" si="22"/>
        <v>33.021894003485507</v>
      </c>
      <c r="E1102" s="61">
        <v>7</v>
      </c>
      <c r="F1102" s="65">
        <v>33.764953755017679</v>
      </c>
      <c r="G1102" s="59">
        <v>65</v>
      </c>
      <c r="H1102" s="59">
        <v>123</v>
      </c>
      <c r="I1102" s="65">
        <v>-10.033278319104404</v>
      </c>
      <c r="J1102" s="6">
        <f>VLOOKUP($D1102,Sheet1!$A$5:$C$192,3,TRUE)</f>
        <v>6</v>
      </c>
      <c r="K1102" s="42" t="str">
        <f>VLOOKUP($D1102,Sheet1!$A$5:$C$192,2,TRUE)</f>
        <v>(|</v>
      </c>
      <c r="L1102" s="6">
        <f>FLOOR(VLOOKUP($D1102,Sheet1!$D$5:$F$192,3,TRUE),1)</f>
        <v>14</v>
      </c>
      <c r="M1102" s="42" t="str">
        <f>VLOOKUP($D1102,Sheet1!$D$5:$F$192,2,TRUE)</f>
        <v>(|</v>
      </c>
      <c r="N1102" s="23">
        <f>FLOOR(VLOOKUP($D1102,Sheet1!$G$5:$I$192,3,TRUE),1)</f>
        <v>17</v>
      </c>
      <c r="O1102" s="42" t="str">
        <f>VLOOKUP($D1102,Sheet1!$G$5:$I$192,2,TRUE)</f>
        <v>(|</v>
      </c>
      <c r="P1102" s="23">
        <v>1</v>
      </c>
      <c r="Q1102" s="43" t="str">
        <f>VLOOKUP($D1102,Sheet1!$J$5:$L$192,2,TRUE)</f>
        <v>(|</v>
      </c>
      <c r="R1102" s="23">
        <f>FLOOR(VLOOKUP($D1102,Sheet1!$M$5:$O$192,3,TRUE),1)</f>
        <v>68</v>
      </c>
      <c r="S1102" s="42" t="str">
        <f>VLOOKUP($D1102,Sheet1!$M$5:$O$192,2,TRUE)</f>
        <v>(|</v>
      </c>
      <c r="T1102" s="117">
        <f>IF(ABS(D1102-VLOOKUP($D1102,Sheet1!$M$5:$T$192,8,TRUE))&lt;10^-10,"SoCA",D1102-VLOOKUP($D1102,Sheet1!$M$5:$T$192,8,TRUE))</f>
        <v>-0.12607702398198484</v>
      </c>
      <c r="U1102" s="109" t="str">
        <f>IF(VLOOKUP($D1102,Sheet1!$M$5:$U$192,9,TRUE)=0,"",IF(ABS(D1102-VLOOKUP($D1102,Sheet1!$M$5:$U$192,9,TRUE))&lt;10^-10,"Alt.",D1102-VLOOKUP($D1102,Sheet1!$M$5:$U$192,9,TRUE)))</f>
        <v/>
      </c>
      <c r="V1102" s="132">
        <f>$D1102-Sheet1!$M$3*$R1102</f>
        <v>-0.15656270005273853</v>
      </c>
      <c r="Z1102" s="6"/>
      <c r="AA1102" s="61"/>
    </row>
    <row r="1103" spans="1:27" ht="13.5">
      <c r="A1103" t="s">
        <v>1734</v>
      </c>
      <c r="B1103">
        <v>6561</v>
      </c>
      <c r="C1103">
        <v>6688</v>
      </c>
      <c r="D1103" s="13">
        <f t="shared" si="22"/>
        <v>33.190951573960135</v>
      </c>
      <c r="E1103" s="61">
        <v>19</v>
      </c>
      <c r="F1103" s="65">
        <v>54.55460958767685</v>
      </c>
      <c r="G1103" s="6">
        <v>1642</v>
      </c>
      <c r="H1103" s="6">
        <v>1583</v>
      </c>
      <c r="I1103" s="65">
        <v>-10.043687809628789</v>
      </c>
      <c r="J1103" s="6">
        <f>VLOOKUP($D1103,Sheet1!$A$5:$C$192,3,TRUE)</f>
        <v>6</v>
      </c>
      <c r="K1103" s="42" t="str">
        <f>VLOOKUP($D1103,Sheet1!$A$5:$C$192,2,TRUE)</f>
        <v>(|</v>
      </c>
      <c r="L1103" s="6">
        <f>FLOOR(VLOOKUP($D1103,Sheet1!$D$5:$F$192,3,TRUE),1)</f>
        <v>14</v>
      </c>
      <c r="M1103" s="42" t="str">
        <f>VLOOKUP($D1103,Sheet1!$D$5:$F$192,2,TRUE)</f>
        <v>(|</v>
      </c>
      <c r="N1103" s="23">
        <f>FLOOR(VLOOKUP($D1103,Sheet1!$G$5:$I$192,3,TRUE),1)</f>
        <v>17</v>
      </c>
      <c r="O1103" s="42" t="str">
        <f>VLOOKUP($D1103,Sheet1!$G$5:$I$192,2,TRUE)</f>
        <v>(|</v>
      </c>
      <c r="P1103" s="23">
        <v>1</v>
      </c>
      <c r="Q1103" s="43" t="str">
        <f>VLOOKUP($D1103,Sheet1!$J$5:$L$192,2,TRUE)</f>
        <v>(|</v>
      </c>
      <c r="R1103" s="23">
        <f>FLOOR(VLOOKUP($D1103,Sheet1!$M$5:$O$192,3,TRUE),1)</f>
        <v>68</v>
      </c>
      <c r="S1103" s="42" t="str">
        <f>VLOOKUP($D1103,Sheet1!$M$5:$O$192,2,TRUE)</f>
        <v>(|</v>
      </c>
      <c r="T1103" s="117">
        <f>IF(ABS(D1103-VLOOKUP($D1103,Sheet1!$M$5:$T$192,8,TRUE))&lt;10^-10,"SoCA",D1103-VLOOKUP($D1103,Sheet1!$M$5:$T$192,8,TRUE))</f>
        <v>4.2980546492643157E-2</v>
      </c>
      <c r="U1103" s="109" t="str">
        <f>IF(VLOOKUP($D1103,Sheet1!$M$5:$U$192,9,TRUE)=0,"",IF(ABS(D1103-VLOOKUP($D1103,Sheet1!$M$5:$U$192,9,TRUE))&lt;10^-10,"Alt.",D1103-VLOOKUP($D1103,Sheet1!$M$5:$U$192,9,TRUE)))</f>
        <v/>
      </c>
      <c r="V1103" s="132">
        <f>$D1103-Sheet1!$M$3*$R1103</f>
        <v>1.2494870421889459E-2</v>
      </c>
      <c r="Z1103" s="6"/>
      <c r="AA1103" s="61"/>
    </row>
    <row r="1104" spans="1:27" ht="13.5">
      <c r="A1104" s="40" t="s">
        <v>572</v>
      </c>
      <c r="B1104" s="40">
        <f>3^2*5^5</f>
        <v>28125</v>
      </c>
      <c r="C1104" s="40">
        <f>2^12*7</f>
        <v>28672</v>
      </c>
      <c r="D1104" s="13">
        <f t="shared" si="22"/>
        <v>33.347335414175944</v>
      </c>
      <c r="E1104" s="61">
        <v>7</v>
      </c>
      <c r="F1104" s="65">
        <v>57.800672953238909</v>
      </c>
      <c r="G1104" s="6">
        <v>437</v>
      </c>
      <c r="H1104" s="6">
        <v>417</v>
      </c>
      <c r="I1104" s="65">
        <v>-4.0533169324082259</v>
      </c>
      <c r="J1104" s="6">
        <f>VLOOKUP($D1104,Sheet1!$A$5:$C$192,3,TRUE)</f>
        <v>6</v>
      </c>
      <c r="K1104" s="42" t="str">
        <f>VLOOKUP($D1104,Sheet1!$A$5:$C$192,2,TRUE)</f>
        <v>(|</v>
      </c>
      <c r="L1104" s="6">
        <f>FLOOR(VLOOKUP($D1104,Sheet1!$D$5:$F$192,3,TRUE),1)</f>
        <v>14</v>
      </c>
      <c r="M1104" s="42" t="str">
        <f>VLOOKUP($D1104,Sheet1!$D$5:$F$192,2,TRUE)</f>
        <v>(|</v>
      </c>
      <c r="N1104" s="23">
        <f>FLOOR(VLOOKUP($D1104,Sheet1!$G$5:$I$192,3,TRUE),1)</f>
        <v>17</v>
      </c>
      <c r="O1104" s="42" t="str">
        <f>VLOOKUP($D1104,Sheet1!$G$5:$I$192,2,TRUE)</f>
        <v>(|</v>
      </c>
      <c r="P1104" s="23">
        <v>1</v>
      </c>
      <c r="Q1104" s="43" t="str">
        <f>VLOOKUP($D1104,Sheet1!$J$5:$L$192,2,TRUE)</f>
        <v>(|</v>
      </c>
      <c r="R1104" s="40">
        <f>FLOOR(VLOOKUP($D1104,Sheet1!$M$5:$O$192,3,TRUE),1)</f>
        <v>68</v>
      </c>
      <c r="S1104" s="46" t="str">
        <f>VLOOKUP($D1104,Sheet1!$M$5:$O$192,2,TRUE)</f>
        <v>'|\.</v>
      </c>
      <c r="T1104" s="115">
        <f>IF(ABS(D1104-VLOOKUP($D1104,Sheet1!$M$5:$T$192,8,TRUE))&lt;10^-10,"SoCA",D1104-VLOOKUP($D1104,Sheet1!$M$5:$T$192,8,TRUE))</f>
        <v>4.9677158767195806E-2</v>
      </c>
      <c r="U1104" s="115">
        <f>IF(VLOOKUP($D1104,Sheet1!$M$5:$U$192,9,TRUE)=0,"",IF(ABS(D1104-VLOOKUP($D1104,Sheet1!$M$5:$U$192,9,TRUE))&lt;10^-10,"Alt.",D1104-VLOOKUP($D1104,Sheet1!$M$5:$U$192,9,TRUE)))</f>
        <v>2.2716863564760104E-2</v>
      </c>
      <c r="V1104" s="132">
        <f>$D1104-Sheet1!$M$3*$R1104</f>
        <v>0.16887871063769921</v>
      </c>
      <c r="Z1104" s="6"/>
      <c r="AA1104" s="61"/>
    </row>
    <row r="1105" spans="1:27" ht="13.5">
      <c r="A1105" t="s">
        <v>532</v>
      </c>
      <c r="B1105">
        <v>675</v>
      </c>
      <c r="C1105">
        <v>688</v>
      </c>
      <c r="D1105" s="13">
        <f t="shared" si="22"/>
        <v>33.025275316685722</v>
      </c>
      <c r="E1105" s="61">
        <v>43</v>
      </c>
      <c r="F1105" s="65">
        <v>64.051069507660046</v>
      </c>
      <c r="G1105" s="6">
        <v>400</v>
      </c>
      <c r="H1105" s="6">
        <v>375</v>
      </c>
      <c r="I1105" s="65">
        <v>-5.033486518876936</v>
      </c>
      <c r="J1105" s="6">
        <f>VLOOKUP($D1105,Sheet1!$A$5:$C$192,3,TRUE)</f>
        <v>6</v>
      </c>
      <c r="K1105" s="42" t="str">
        <f>VLOOKUP($D1105,Sheet1!$A$5:$C$192,2,TRUE)</f>
        <v>(|</v>
      </c>
      <c r="L1105" s="6">
        <f>FLOOR(VLOOKUP($D1105,Sheet1!$D$5:$F$192,3,TRUE),1)</f>
        <v>14</v>
      </c>
      <c r="M1105" s="42" t="str">
        <f>VLOOKUP($D1105,Sheet1!$D$5:$F$192,2,TRUE)</f>
        <v>(|</v>
      </c>
      <c r="N1105" s="23">
        <f>FLOOR(VLOOKUP($D1105,Sheet1!$G$5:$I$192,3,TRUE),1)</f>
        <v>17</v>
      </c>
      <c r="O1105" s="42" t="str">
        <f>VLOOKUP($D1105,Sheet1!$G$5:$I$192,2,TRUE)</f>
        <v>(|</v>
      </c>
      <c r="P1105" s="23">
        <v>1</v>
      </c>
      <c r="Q1105" s="43" t="str">
        <f>VLOOKUP($D1105,Sheet1!$J$5:$L$192,2,TRUE)</f>
        <v>(|</v>
      </c>
      <c r="R1105" s="23">
        <f>FLOOR(VLOOKUP($D1105,Sheet1!$M$5:$O$192,3,TRUE),1)</f>
        <v>68</v>
      </c>
      <c r="S1105" s="42" t="str">
        <f>VLOOKUP($D1105,Sheet1!$M$5:$O$192,2,TRUE)</f>
        <v>(|</v>
      </c>
      <c r="T1105" s="117">
        <f>IF(ABS(D1105-VLOOKUP($D1105,Sheet1!$M$5:$T$192,8,TRUE))&lt;10^-10,"SoCA",D1105-VLOOKUP($D1105,Sheet1!$M$5:$T$192,8,TRUE))</f>
        <v>-0.12269571078176966</v>
      </c>
      <c r="U1105" s="109" t="str">
        <f>IF(VLOOKUP($D1105,Sheet1!$M$5:$U$192,9,TRUE)=0,"",IF(ABS(D1105-VLOOKUP($D1105,Sheet1!$M$5:$U$192,9,TRUE))&lt;10^-10,"Alt.",D1105-VLOOKUP($D1105,Sheet1!$M$5:$U$192,9,TRUE)))</f>
        <v/>
      </c>
      <c r="V1105" s="132">
        <f>$D1105-Sheet1!$M$3*$R1105</f>
        <v>-0.15318138685252336</v>
      </c>
      <c r="Z1105" s="6"/>
      <c r="AA1105" s="61"/>
    </row>
    <row r="1106" spans="1:27" ht="13.5">
      <c r="A1106" t="s">
        <v>626</v>
      </c>
      <c r="B1106">
        <v>52</v>
      </c>
      <c r="C1106">
        <v>53</v>
      </c>
      <c r="D1106" s="13">
        <f t="shared" si="22"/>
        <v>32.976883706528305</v>
      </c>
      <c r="E1106" s="61" t="s">
        <v>1931</v>
      </c>
      <c r="F1106" s="65">
        <v>66.059270566987351</v>
      </c>
      <c r="G1106" s="6">
        <v>519</v>
      </c>
      <c r="H1106" s="6">
        <v>471</v>
      </c>
      <c r="I1106" s="65">
        <v>-2.0305068711393099</v>
      </c>
      <c r="J1106" s="6">
        <f>VLOOKUP($D1106,Sheet1!$A$5:$C$192,3,TRUE)</f>
        <v>6</v>
      </c>
      <c r="K1106" s="42" t="str">
        <f>VLOOKUP($D1106,Sheet1!$A$5:$C$192,2,TRUE)</f>
        <v>(|</v>
      </c>
      <c r="L1106" s="6">
        <f>FLOOR(VLOOKUP($D1106,Sheet1!$D$5:$F$192,3,TRUE),1)</f>
        <v>14</v>
      </c>
      <c r="M1106" s="42" t="str">
        <f>VLOOKUP($D1106,Sheet1!$D$5:$F$192,2,TRUE)</f>
        <v>(|</v>
      </c>
      <c r="N1106" s="23">
        <f>FLOOR(VLOOKUP($D1106,Sheet1!$G$5:$I$192,3,TRUE),1)</f>
        <v>17</v>
      </c>
      <c r="O1106" s="42" t="str">
        <f>VLOOKUP($D1106,Sheet1!$G$5:$I$192,2,TRUE)</f>
        <v>(|</v>
      </c>
      <c r="P1106" s="23">
        <v>1</v>
      </c>
      <c r="Q1106" s="43" t="str">
        <f>VLOOKUP($D1106,Sheet1!$J$5:$L$192,2,TRUE)</f>
        <v>(|</v>
      </c>
      <c r="R1106" s="23">
        <f>FLOOR(VLOOKUP($D1106,Sheet1!$M$5:$O$192,3,TRUE),1)</f>
        <v>68</v>
      </c>
      <c r="S1106" s="42" t="str">
        <f>VLOOKUP($D1106,Sheet1!$M$5:$O$192,2,TRUE)</f>
        <v>(|</v>
      </c>
      <c r="T1106" s="117">
        <f>IF(ABS(D1106-VLOOKUP($D1106,Sheet1!$M$5:$T$192,8,TRUE))&lt;10^-10,"SoCA",D1106-VLOOKUP($D1106,Sheet1!$M$5:$T$192,8,TRUE))</f>
        <v>-0.17108732093918633</v>
      </c>
      <c r="U1106" s="109" t="str">
        <f>IF(VLOOKUP($D1106,Sheet1!$M$5:$U$192,9,TRUE)=0,"",IF(ABS(D1106-VLOOKUP($D1106,Sheet1!$M$5:$U$192,9,TRUE))&lt;10^-10,"Alt.",D1106-VLOOKUP($D1106,Sheet1!$M$5:$U$192,9,TRUE)))</f>
        <v/>
      </c>
      <c r="V1106" s="132">
        <f>$D1106-Sheet1!$M$3*$R1106</f>
        <v>-0.20157299700994002</v>
      </c>
      <c r="Z1106" s="6"/>
      <c r="AA1106" s="61"/>
    </row>
    <row r="1107" spans="1:27" ht="13.5">
      <c r="A1107" s="6" t="s">
        <v>1119</v>
      </c>
      <c r="B1107" s="6">
        <f>2^15*5^2*7</f>
        <v>5734400</v>
      </c>
      <c r="C1107" s="6">
        <f>3^12*11</f>
        <v>5845851</v>
      </c>
      <c r="D1107" s="13">
        <f t="shared" si="22"/>
        <v>33.324618550611106</v>
      </c>
      <c r="E1107" s="61">
        <v>11</v>
      </c>
      <c r="F1107" s="65">
        <v>86.960154145614823</v>
      </c>
      <c r="G1107" s="6">
        <v>483</v>
      </c>
      <c r="H1107" s="6">
        <v>968</v>
      </c>
      <c r="I1107" s="65">
        <v>9.9480818276435006</v>
      </c>
      <c r="J1107" s="6">
        <f>VLOOKUP($D1107,Sheet1!$A$5:$C$192,3,TRUE)</f>
        <v>6</v>
      </c>
      <c r="K1107" s="42" t="str">
        <f>VLOOKUP($D1107,Sheet1!$A$5:$C$192,2,TRUE)</f>
        <v>(|</v>
      </c>
      <c r="L1107" s="6">
        <f>FLOOR(VLOOKUP($D1107,Sheet1!$D$5:$F$192,3,TRUE),1)</f>
        <v>14</v>
      </c>
      <c r="M1107" s="42" t="str">
        <f>VLOOKUP($D1107,Sheet1!$D$5:$F$192,2,TRUE)</f>
        <v>(|</v>
      </c>
      <c r="N1107" s="23">
        <f>FLOOR(VLOOKUP($D1107,Sheet1!$G$5:$I$192,3,TRUE),1)</f>
        <v>17</v>
      </c>
      <c r="O1107" s="42" t="str">
        <f>VLOOKUP($D1107,Sheet1!$G$5:$I$192,2,TRUE)</f>
        <v>(|</v>
      </c>
      <c r="P1107" s="23">
        <v>1</v>
      </c>
      <c r="Q1107" s="43" t="str">
        <f>VLOOKUP($D1107,Sheet1!$J$5:$L$192,2,TRUE)</f>
        <v>(|</v>
      </c>
      <c r="R1107" s="23">
        <f>FLOOR(VLOOKUP($D1107,Sheet1!$M$5:$O$192,3,TRUE),1)</f>
        <v>68</v>
      </c>
      <c r="S1107" s="42" t="str">
        <f>VLOOKUP($D1107,Sheet1!$M$5:$O$192,2,TRUE)</f>
        <v>'|\.</v>
      </c>
      <c r="T1107" s="117">
        <f>IF(ABS(D1107-VLOOKUP($D1107,Sheet1!$M$5:$T$192,8,TRUE))&lt;10^-10,"SoCA",D1107-VLOOKUP($D1107,Sheet1!$M$5:$T$192,8,TRUE))</f>
        <v>2.6960295202357543E-2</v>
      </c>
      <c r="U1107" s="125" t="str">
        <f>IF(VLOOKUP($D1107,Sheet1!$M$5:$U$192,9,TRUE)=0,"",IF(ABS(D1107-VLOOKUP($D1107,Sheet1!$M$5:$U$192,9,TRUE))&lt;10^-10,"Alt.",D1107-VLOOKUP($D1107,Sheet1!$M$5:$U$192,9,TRUE)))</f>
        <v>Alt.</v>
      </c>
      <c r="V1107" s="132">
        <f>$D1107-Sheet1!$M$3*$R1107</f>
        <v>0.14616184707286095</v>
      </c>
      <c r="Z1107" s="6"/>
      <c r="AA1107" s="61"/>
    </row>
    <row r="1108" spans="1:27" ht="13.5">
      <c r="A1108" s="6" t="s">
        <v>436</v>
      </c>
      <c r="B1108" s="6">
        <f>5^9</f>
        <v>1953125</v>
      </c>
      <c r="C1108" s="6">
        <f>2^13*3^5</f>
        <v>1990656</v>
      </c>
      <c r="D1108" s="13">
        <f t="shared" si="22"/>
        <v>32.951579543423676</v>
      </c>
      <c r="E1108" s="61">
        <v>5</v>
      </c>
      <c r="F1108" s="65">
        <v>126.4236951071198</v>
      </c>
      <c r="G1108" s="6">
        <v>299</v>
      </c>
      <c r="H1108" s="6">
        <v>274</v>
      </c>
      <c r="I1108" s="65">
        <v>2.9710511983711276</v>
      </c>
      <c r="J1108" s="6">
        <f>VLOOKUP($D1108,Sheet1!$A$5:$C$192,3,TRUE)</f>
        <v>6</v>
      </c>
      <c r="K1108" s="42" t="str">
        <f>VLOOKUP($D1108,Sheet1!$A$5:$C$192,2,TRUE)</f>
        <v>(|</v>
      </c>
      <c r="L1108" s="6">
        <f>FLOOR(VLOOKUP($D1108,Sheet1!$D$5:$F$192,3,TRUE),1)</f>
        <v>14</v>
      </c>
      <c r="M1108" s="42" t="str">
        <f>VLOOKUP($D1108,Sheet1!$D$5:$F$192,2,TRUE)</f>
        <v>(|</v>
      </c>
      <c r="N1108" s="23">
        <f>FLOOR(VLOOKUP($D1108,Sheet1!$G$5:$I$192,3,TRUE),1)</f>
        <v>17</v>
      </c>
      <c r="O1108" s="42" t="str">
        <f>VLOOKUP($D1108,Sheet1!$G$5:$I$192,2,TRUE)</f>
        <v>(|</v>
      </c>
      <c r="P1108" s="23">
        <v>1</v>
      </c>
      <c r="Q1108" s="43" t="str">
        <f>VLOOKUP($D1108,Sheet1!$J$5:$L$192,2,TRUE)</f>
        <v>(|</v>
      </c>
      <c r="R1108" s="23">
        <f>FLOOR(VLOOKUP($D1108,Sheet1!$M$5:$O$192,3,TRUE),1)</f>
        <v>68</v>
      </c>
      <c r="S1108" s="42" t="str">
        <f>VLOOKUP($D1108,Sheet1!$M$5:$O$192,2,TRUE)</f>
        <v>(|</v>
      </c>
      <c r="T1108" s="117">
        <f>IF(ABS(D1108-VLOOKUP($D1108,Sheet1!$M$5:$T$192,8,TRUE))&lt;10^-10,"SoCA",D1108-VLOOKUP($D1108,Sheet1!$M$5:$T$192,8,TRUE))</f>
        <v>-0.19639148404381501</v>
      </c>
      <c r="U1108" s="109" t="str">
        <f>IF(VLOOKUP($D1108,Sheet1!$M$5:$U$192,9,TRUE)=0,"",IF(ABS(D1108-VLOOKUP($D1108,Sheet1!$M$5:$U$192,9,TRUE))&lt;10^-10,"Alt.",D1108-VLOOKUP($D1108,Sheet1!$M$5:$U$192,9,TRUE)))</f>
        <v/>
      </c>
      <c r="V1108" s="132">
        <f>$D1108-Sheet1!$M$3*$R1108</f>
        <v>-0.22687716011456871</v>
      </c>
      <c r="Z1108" s="6"/>
      <c r="AA1108" s="61"/>
    </row>
    <row r="1109" spans="1:27" ht="13.5">
      <c r="A1109" t="s">
        <v>739</v>
      </c>
      <c r="B1109">
        <v>568</v>
      </c>
      <c r="C1109">
        <v>579</v>
      </c>
      <c r="D1109" s="13">
        <f t="shared" si="22"/>
        <v>33.20690218146531</v>
      </c>
      <c r="E1109" s="61" t="s">
        <v>1931</v>
      </c>
      <c r="F1109" s="65">
        <v>264.06265948210898</v>
      </c>
      <c r="G1109" s="6">
        <v>628</v>
      </c>
      <c r="H1109" s="6">
        <v>584</v>
      </c>
      <c r="I1109" s="65">
        <v>-1.0446699466441101</v>
      </c>
      <c r="J1109" s="6">
        <f>VLOOKUP($D1109,Sheet1!$A$5:$C$192,3,TRUE)</f>
        <v>6</v>
      </c>
      <c r="K1109" s="42" t="str">
        <f>VLOOKUP($D1109,Sheet1!$A$5:$C$192,2,TRUE)</f>
        <v>(|</v>
      </c>
      <c r="L1109" s="6">
        <f>FLOOR(VLOOKUP($D1109,Sheet1!$D$5:$F$192,3,TRUE),1)</f>
        <v>14</v>
      </c>
      <c r="M1109" s="42" t="str">
        <f>VLOOKUP($D1109,Sheet1!$D$5:$F$192,2,TRUE)</f>
        <v>(|</v>
      </c>
      <c r="N1109" s="23">
        <f>FLOOR(VLOOKUP($D1109,Sheet1!$G$5:$I$192,3,TRUE),1)</f>
        <v>17</v>
      </c>
      <c r="O1109" s="42" t="str">
        <f>VLOOKUP($D1109,Sheet1!$G$5:$I$192,2,TRUE)</f>
        <v>(|</v>
      </c>
      <c r="P1109" s="23">
        <v>1</v>
      </c>
      <c r="Q1109" s="43" t="str">
        <f>VLOOKUP($D1109,Sheet1!$J$5:$L$192,2,TRUE)</f>
        <v>(|</v>
      </c>
      <c r="R1109" s="23">
        <f>FLOOR(VLOOKUP($D1109,Sheet1!$M$5:$O$192,3,TRUE),1)</f>
        <v>68</v>
      </c>
      <c r="S1109" s="42" t="str">
        <f>VLOOKUP($D1109,Sheet1!$M$5:$O$192,2,TRUE)</f>
        <v>(|</v>
      </c>
      <c r="T1109" s="117">
        <f>IF(ABS(D1109-VLOOKUP($D1109,Sheet1!$M$5:$T$192,8,TRUE))&lt;10^-10,"SoCA",D1109-VLOOKUP($D1109,Sheet1!$M$5:$T$192,8,TRUE))</f>
        <v>5.8931153997818342E-2</v>
      </c>
      <c r="U1109" s="109" t="str">
        <f>IF(VLOOKUP($D1109,Sheet1!$M$5:$U$192,9,TRUE)=0,"",IF(ABS(D1109-VLOOKUP($D1109,Sheet1!$M$5:$U$192,9,TRUE))&lt;10^-10,"Alt.",D1109-VLOOKUP($D1109,Sheet1!$M$5:$U$192,9,TRUE)))</f>
        <v/>
      </c>
      <c r="V1109" s="132">
        <f>$D1109-Sheet1!$M$3*$R1109</f>
        <v>2.8445477927064644E-2</v>
      </c>
      <c r="Z1109" s="6"/>
      <c r="AA1109" s="61"/>
    </row>
    <row r="1110" spans="1:27" ht="13.5">
      <c r="A1110" t="s">
        <v>1124</v>
      </c>
      <c r="B1110">
        <v>128000</v>
      </c>
      <c r="C1110">
        <v>130491</v>
      </c>
      <c r="D1110" s="13">
        <f t="shared" si="22"/>
        <v>33.367796314927951</v>
      </c>
      <c r="E1110" s="61" t="s">
        <v>1931</v>
      </c>
      <c r="F1110" s="65">
        <v>272.75765016927693</v>
      </c>
      <c r="G1110" s="6">
        <v>1034</v>
      </c>
      <c r="H1110" s="6">
        <v>973</v>
      </c>
      <c r="I1110" s="65">
        <v>3.9454232153893534</v>
      </c>
      <c r="J1110" s="6">
        <f>VLOOKUP($D1110,Sheet1!$A$5:$C$192,3,TRUE)</f>
        <v>6</v>
      </c>
      <c r="K1110" s="42" t="str">
        <f>VLOOKUP($D1110,Sheet1!$A$5:$C$192,2,TRUE)</f>
        <v>(|</v>
      </c>
      <c r="L1110" s="6">
        <f>FLOOR(VLOOKUP($D1110,Sheet1!$D$5:$F$192,3,TRUE),1)</f>
        <v>14</v>
      </c>
      <c r="M1110" s="42" t="str">
        <f>VLOOKUP($D1110,Sheet1!$D$5:$F$192,2,TRUE)</f>
        <v>(|</v>
      </c>
      <c r="N1110" s="23">
        <f>FLOOR(VLOOKUP($D1110,Sheet1!$G$5:$I$192,3,TRUE),1)</f>
        <v>17</v>
      </c>
      <c r="O1110" s="42" t="str">
        <f>VLOOKUP($D1110,Sheet1!$G$5:$I$192,2,TRUE)</f>
        <v>(|</v>
      </c>
      <c r="P1110" s="23">
        <v>1</v>
      </c>
      <c r="Q1110" s="43" t="str">
        <f>VLOOKUP($D1110,Sheet1!$J$5:$L$192,2,TRUE)</f>
        <v>(|</v>
      </c>
      <c r="R1110" s="23">
        <f>FLOOR(VLOOKUP($D1110,Sheet1!$M$5:$O$192,3,TRUE),1)</f>
        <v>68</v>
      </c>
      <c r="S1110" s="42" t="str">
        <f>VLOOKUP($D1110,Sheet1!$M$5:$O$192,2,TRUE)</f>
        <v>'|\.</v>
      </c>
      <c r="T1110" s="117">
        <f>IF(ABS(D1110-VLOOKUP($D1110,Sheet1!$M$5:$T$192,8,TRUE))&lt;10^-10,"SoCA",D1110-VLOOKUP($D1110,Sheet1!$M$5:$T$192,8,TRUE))</f>
        <v>7.0138059519202045E-2</v>
      </c>
      <c r="U1110" s="109">
        <f>IF(VLOOKUP($D1110,Sheet1!$M$5:$U$192,9,TRUE)=0,"",IF(ABS(D1110-VLOOKUP($D1110,Sheet1!$M$5:$U$192,9,TRUE))&lt;10^-10,"Alt.",D1110-VLOOKUP($D1110,Sheet1!$M$5:$U$192,9,TRUE)))</f>
        <v>4.3177764316766343E-2</v>
      </c>
      <c r="V1110" s="132">
        <f>$D1110-Sheet1!$M$3*$R1110</f>
        <v>0.18933961138970545</v>
      </c>
      <c r="Z1110" s="6"/>
      <c r="AA1110" s="61"/>
    </row>
    <row r="1111" spans="1:27" ht="13.5">
      <c r="A1111" t="s">
        <v>933</v>
      </c>
      <c r="B1111">
        <v>83886080</v>
      </c>
      <c r="C1111">
        <v>85513563</v>
      </c>
      <c r="D1111" s="13">
        <f t="shared" si="22"/>
        <v>33.266193797918255</v>
      </c>
      <c r="E1111" s="61" t="s">
        <v>1931</v>
      </c>
      <c r="F1111" s="65">
        <v>55115.389118107101</v>
      </c>
      <c r="G1111" s="6">
        <v>842</v>
      </c>
      <c r="H1111" s="6">
        <v>781</v>
      </c>
      <c r="I1111" s="65">
        <v>1.9516792525197628</v>
      </c>
      <c r="J1111" s="6">
        <f>VLOOKUP($D1111,Sheet1!$A$5:$C$192,3,TRUE)</f>
        <v>6</v>
      </c>
      <c r="K1111" s="42" t="str">
        <f>VLOOKUP($D1111,Sheet1!$A$5:$C$192,2,TRUE)</f>
        <v>(|</v>
      </c>
      <c r="L1111" s="6">
        <f>FLOOR(VLOOKUP($D1111,Sheet1!$D$5:$F$192,3,TRUE),1)</f>
        <v>14</v>
      </c>
      <c r="M1111" s="42" t="str">
        <f>VLOOKUP($D1111,Sheet1!$D$5:$F$192,2,TRUE)</f>
        <v>(|</v>
      </c>
      <c r="N1111" s="23">
        <f>FLOOR(VLOOKUP($D1111,Sheet1!$G$5:$I$192,3,TRUE),1)</f>
        <v>17</v>
      </c>
      <c r="O1111" s="42" t="str">
        <f>VLOOKUP($D1111,Sheet1!$G$5:$I$192,2,TRUE)</f>
        <v>(|</v>
      </c>
      <c r="P1111" s="23">
        <v>1</v>
      </c>
      <c r="Q1111" s="43" t="str">
        <f>VLOOKUP($D1111,Sheet1!$J$5:$L$192,2,TRUE)</f>
        <v>(|</v>
      </c>
      <c r="R1111" s="23">
        <f>FLOOR(VLOOKUP($D1111,Sheet1!$M$5:$O$192,3,TRUE),1)</f>
        <v>68</v>
      </c>
      <c r="S1111" s="42" t="str">
        <f>VLOOKUP($D1111,Sheet1!$M$5:$O$192,2,TRUE)</f>
        <v>'|\.</v>
      </c>
      <c r="T1111" s="117">
        <f>IF(ABS(D1111-VLOOKUP($D1111,Sheet1!$M$5:$T$192,8,TRUE))&lt;10^-10,"SoCA",D1111-VLOOKUP($D1111,Sheet1!$M$5:$T$192,8,TRUE))</f>
        <v>-3.1464457490493203E-2</v>
      </c>
      <c r="U1111" s="109">
        <f>IF(VLOOKUP($D1111,Sheet1!$M$5:$U$192,9,TRUE)=0,"",IF(ABS(D1111-VLOOKUP($D1111,Sheet1!$M$5:$U$192,9,TRUE))&lt;10^-10,"Alt.",D1111-VLOOKUP($D1111,Sheet1!$M$5:$U$192,9,TRUE)))</f>
        <v>-5.8424752692928905E-2</v>
      </c>
      <c r="V1111" s="132">
        <f>$D1111-Sheet1!$M$3*$R1111</f>
        <v>8.7737094380010205E-2</v>
      </c>
      <c r="Z1111" s="6"/>
      <c r="AA1111" s="61"/>
    </row>
    <row r="1112" spans="1:27" ht="13.5">
      <c r="A1112" t="s">
        <v>1127</v>
      </c>
      <c r="B1112">
        <v>838860800</v>
      </c>
      <c r="C1112">
        <v>855130851</v>
      </c>
      <c r="D1112" s="13">
        <f t="shared" si="22"/>
        <v>33.25651861850897</v>
      </c>
      <c r="E1112" s="61" t="s">
        <v>1931</v>
      </c>
      <c r="F1112" s="65">
        <v>1407637.867993488</v>
      </c>
      <c r="G1112" s="6">
        <v>1037</v>
      </c>
      <c r="H1112" s="6">
        <v>976</v>
      </c>
      <c r="I1112" s="65">
        <v>3.9522749885645903</v>
      </c>
      <c r="J1112" s="6">
        <f>VLOOKUP($D1112,Sheet1!$A$5:$C$192,3,TRUE)</f>
        <v>6</v>
      </c>
      <c r="K1112" s="42" t="str">
        <f>VLOOKUP($D1112,Sheet1!$A$5:$C$192,2,TRUE)</f>
        <v>(|</v>
      </c>
      <c r="L1112" s="6">
        <f>FLOOR(VLOOKUP($D1112,Sheet1!$D$5:$F$192,3,TRUE),1)</f>
        <v>14</v>
      </c>
      <c r="M1112" s="42" t="str">
        <f>VLOOKUP($D1112,Sheet1!$D$5:$F$192,2,TRUE)</f>
        <v>(|</v>
      </c>
      <c r="N1112" s="23">
        <f>FLOOR(VLOOKUP($D1112,Sheet1!$G$5:$I$192,3,TRUE),1)</f>
        <v>17</v>
      </c>
      <c r="O1112" s="42" t="str">
        <f>VLOOKUP($D1112,Sheet1!$G$5:$I$192,2,TRUE)</f>
        <v>(|</v>
      </c>
      <c r="P1112" s="23">
        <v>1</v>
      </c>
      <c r="Q1112" s="43" t="str">
        <f>VLOOKUP($D1112,Sheet1!$J$5:$L$192,2,TRUE)</f>
        <v>(|</v>
      </c>
      <c r="R1112" s="23">
        <f>FLOOR(VLOOKUP($D1112,Sheet1!$M$5:$O$192,3,TRUE),1)</f>
        <v>68</v>
      </c>
      <c r="S1112" s="42" t="str">
        <f>VLOOKUP($D1112,Sheet1!$M$5:$O$192,2,TRUE)</f>
        <v>'|\.</v>
      </c>
      <c r="T1112" s="117">
        <f>IF(ABS(D1112-VLOOKUP($D1112,Sheet1!$M$5:$T$192,8,TRUE))&lt;10^-10,"SoCA",D1112-VLOOKUP($D1112,Sheet1!$M$5:$T$192,8,TRUE))</f>
        <v>-4.1139636899778509E-2</v>
      </c>
      <c r="U1112" s="109">
        <f>IF(VLOOKUP($D1112,Sheet1!$M$5:$U$192,9,TRUE)=0,"",IF(ABS(D1112-VLOOKUP($D1112,Sheet1!$M$5:$U$192,9,TRUE))&lt;10^-10,"Alt.",D1112-VLOOKUP($D1112,Sheet1!$M$5:$U$192,9,TRUE)))</f>
        <v>-6.8099932102214211E-2</v>
      </c>
      <c r="V1112" s="132">
        <f>$D1112-Sheet1!$M$3*$R1112</f>
        <v>7.8061914970724899E-2</v>
      </c>
      <c r="Z1112" s="6"/>
      <c r="AA1112" s="61"/>
    </row>
    <row r="1113" spans="1:27" ht="13.5">
      <c r="A1113" s="36" t="s">
        <v>134</v>
      </c>
      <c r="B1113" s="37">
        <f>3*17</f>
        <v>51</v>
      </c>
      <c r="C1113" s="36">
        <f>2^2*13</f>
        <v>52</v>
      </c>
      <c r="D1113" s="13">
        <f t="shared" si="22"/>
        <v>33.617251403515773</v>
      </c>
      <c r="E1113" s="61">
        <v>17</v>
      </c>
      <c r="F1113" s="65">
        <v>30.099532240272683</v>
      </c>
      <c r="G1113" s="14">
        <v>74</v>
      </c>
      <c r="H1113" s="6">
        <v>68</v>
      </c>
      <c r="I1113" s="65">
        <v>-3.0699366432293664</v>
      </c>
      <c r="J1113" s="6">
        <f>VLOOKUP($D1113,Sheet1!$A$5:$C$192,3,TRUE)</f>
        <v>6</v>
      </c>
      <c r="K1113" s="42" t="str">
        <f>VLOOKUP($D1113,Sheet1!$A$5:$C$192,2,TRUE)</f>
        <v>(|</v>
      </c>
      <c r="L1113" s="6">
        <f>FLOOR(VLOOKUP($D1113,Sheet1!$D$5:$F$192,3,TRUE),1)</f>
        <v>14</v>
      </c>
      <c r="M1113" s="42" t="str">
        <f>VLOOKUP($D1113,Sheet1!$D$5:$F$192,2,TRUE)</f>
        <v>(|</v>
      </c>
      <c r="N1113" s="23">
        <f>FLOOR(VLOOKUP($D1113,Sheet1!$G$5:$I$192,3,TRUE),1)</f>
        <v>17</v>
      </c>
      <c r="O1113" s="42" t="str">
        <f>VLOOKUP($D1113,Sheet1!$G$5:$I$192,2,TRUE)</f>
        <v>(|</v>
      </c>
      <c r="P1113" s="23">
        <v>1</v>
      </c>
      <c r="Q1113" s="45" t="str">
        <f>VLOOKUP($D1113,Sheet1!$J$5:$L$192,2,TRUE)</f>
        <v>(|'</v>
      </c>
      <c r="R1113" s="38">
        <f>FLOOR(VLOOKUP($D1113,Sheet1!$M$5:$O$192,3,TRUE),1)</f>
        <v>69</v>
      </c>
      <c r="S1113" s="45" t="str">
        <f>VLOOKUP($D1113,Sheet1!$M$5:$O$192,2,TRUE)</f>
        <v>(|'</v>
      </c>
      <c r="T1113" s="108">
        <f>IF(ABS(D1113-VLOOKUP($D1113,Sheet1!$M$5:$T$192,8,TRUE))&lt;10^-10,"SoCA",D1113-VLOOKUP($D1113,Sheet1!$M$5:$T$192,8,TRUE))</f>
        <v>4.6564210093457348E-2</v>
      </c>
      <c r="U1113" s="108">
        <f>IF(VLOOKUP($D1113,Sheet1!$M$5:$U$192,9,TRUE)=0,"",IF(ABS(D1113-VLOOKUP($D1113,Sheet1!$M$5:$U$192,9,TRUE))&lt;10^-10,"Alt.",D1113-VLOOKUP($D1113,Sheet1!$M$5:$U$192,9,TRUE)))</f>
        <v>7.352450529589305E-2</v>
      </c>
      <c r="V1113" s="133">
        <f>$D1113-Sheet1!$M$3*$R1113</f>
        <v>-4.9123780956854546E-2</v>
      </c>
      <c r="Z1113" s="6"/>
      <c r="AA1113" s="61"/>
    </row>
    <row r="1114" spans="1:27" ht="13.5">
      <c r="A1114" s="23" t="s">
        <v>382</v>
      </c>
      <c r="B1114" s="23">
        <f>2^16</f>
        <v>65536</v>
      </c>
      <c r="C1114" s="23">
        <f>3^5*5^2*11</f>
        <v>66825</v>
      </c>
      <c r="D1114" s="13">
        <f t="shared" si="22"/>
        <v>33.720374421363431</v>
      </c>
      <c r="E1114" s="61">
        <v>11</v>
      </c>
      <c r="F1114" s="65">
        <v>33.942857976182161</v>
      </c>
      <c r="G1114" s="6">
        <v>241</v>
      </c>
      <c r="H1114" s="6">
        <v>217</v>
      </c>
      <c r="I1114" s="65">
        <v>2.9237136968641448</v>
      </c>
      <c r="J1114" s="6">
        <f>VLOOKUP($D1114,Sheet1!$A$5:$C$192,3,TRUE)</f>
        <v>6</v>
      </c>
      <c r="K1114" s="42" t="str">
        <f>VLOOKUP($D1114,Sheet1!$A$5:$C$192,2,TRUE)</f>
        <v>(|</v>
      </c>
      <c r="L1114" s="6">
        <f>FLOOR(VLOOKUP($D1114,Sheet1!$D$5:$F$192,3,TRUE),1)</f>
        <v>14</v>
      </c>
      <c r="M1114" s="42" t="str">
        <f>VLOOKUP($D1114,Sheet1!$D$5:$F$192,2,TRUE)</f>
        <v>(|</v>
      </c>
      <c r="N1114" s="23">
        <f>FLOOR(VLOOKUP($D1114,Sheet1!$G$5:$I$192,3,TRUE),1)</f>
        <v>17</v>
      </c>
      <c r="O1114" s="42" t="str">
        <f>VLOOKUP($D1114,Sheet1!$G$5:$I$192,2,TRUE)</f>
        <v>(|</v>
      </c>
      <c r="P1114" s="23">
        <v>1</v>
      </c>
      <c r="Q1114" s="43" t="str">
        <f>VLOOKUP($D1114,Sheet1!$J$5:$L$192,2,TRUE)</f>
        <v>(|'</v>
      </c>
      <c r="R1114" s="23">
        <f>FLOOR(VLOOKUP($D1114,Sheet1!$M$5:$O$192,3,TRUE),1)</f>
        <v>69</v>
      </c>
      <c r="S1114" s="43" t="str">
        <f>VLOOKUP($D1114,Sheet1!$M$5:$O$192,2,TRUE)</f>
        <v>.~|)</v>
      </c>
      <c r="T1114" s="117">
        <f>IF(ABS(D1114-VLOOKUP($D1114,Sheet1!$M$5:$T$192,8,TRUE))&lt;10^-10,"SoCA",D1114-VLOOKUP($D1114,Sheet1!$M$5:$T$192,8,TRUE))</f>
        <v>-2.2716863564731682E-2</v>
      </c>
      <c r="U1114" s="117" t="str">
        <f>IF(VLOOKUP($D1114,Sheet1!$M$5:$U$192,9,TRUE)=0,"",IF(ABS(D1114-VLOOKUP($D1114,Sheet1!$M$5:$U$192,9,TRUE))&lt;10^-10,"Alt.",D1114-VLOOKUP($D1114,Sheet1!$M$5:$U$192,9,TRUE)))</f>
        <v/>
      </c>
      <c r="V1114" s="132">
        <f>$D1114-Sheet1!$M$3*$R1114</f>
        <v>5.3999236890803104E-2</v>
      </c>
      <c r="Z1114" s="6"/>
      <c r="AA1114" s="61"/>
    </row>
    <row r="1115" spans="1:27" ht="13.5">
      <c r="A1115" s="144" t="s">
        <v>262</v>
      </c>
      <c r="B1115" s="144">
        <f>2^8</f>
        <v>256</v>
      </c>
      <c r="C1115" s="144">
        <f>3^2*29</f>
        <v>261</v>
      </c>
      <c r="D1115" s="13">
        <f t="shared" si="22"/>
        <v>33.487195883861382</v>
      </c>
      <c r="E1115" s="61">
        <v>29</v>
      </c>
      <c r="F1115" s="65">
        <v>34.847841717137968</v>
      </c>
      <c r="G1115" s="6">
        <v>46</v>
      </c>
      <c r="H1115" s="6">
        <v>40</v>
      </c>
      <c r="I1115" s="65">
        <v>-6.1928651066190721E-2</v>
      </c>
      <c r="J1115" s="6">
        <f>VLOOKUP($D1115,Sheet1!$A$5:$C$192,3,TRUE)</f>
        <v>6</v>
      </c>
      <c r="K1115" s="42" t="str">
        <f>VLOOKUP($D1115,Sheet1!$A$5:$C$192,2,TRUE)</f>
        <v>(|</v>
      </c>
      <c r="L1115" s="6">
        <f>FLOOR(VLOOKUP($D1115,Sheet1!$D$5:$F$192,3,TRUE),1)</f>
        <v>14</v>
      </c>
      <c r="M1115" s="42" t="str">
        <f>VLOOKUP($D1115,Sheet1!$D$5:$F$192,2,TRUE)</f>
        <v>(|</v>
      </c>
      <c r="N1115" s="23">
        <f>FLOOR(VLOOKUP($D1115,Sheet1!$G$5:$I$192,3,TRUE),1)</f>
        <v>17</v>
      </c>
      <c r="O1115" s="42" t="str">
        <f>VLOOKUP($D1115,Sheet1!$G$5:$I$192,2,TRUE)</f>
        <v>(|</v>
      </c>
      <c r="P1115" s="23">
        <v>1</v>
      </c>
      <c r="Q1115" s="145" t="str">
        <f>VLOOKUP($D1115,Sheet1!$J$5:$L$192,2,TRUE)</f>
        <v>(|'</v>
      </c>
      <c r="R1115" s="146">
        <f>FLOOR(VLOOKUP($D1115,Sheet1!$M$5:$O$192,3,TRUE),1)</f>
        <v>69</v>
      </c>
      <c r="S1115" s="145" t="str">
        <f>VLOOKUP($D1115,Sheet1!$M$5:$O$192,2,TRUE)</f>
        <v>(|'</v>
      </c>
      <c r="T1115" s="147">
        <f>IF(ABS(D1115-VLOOKUP($D1115,Sheet1!$M$5:$T$192,8,TRUE))&lt;10^-10,"SoCA",D1115-VLOOKUP($D1115,Sheet1!$M$5:$T$192,8,TRUE))</f>
        <v>-8.3491309560933757E-2</v>
      </c>
      <c r="U1115" s="147">
        <f>IF(VLOOKUP($D1115,Sheet1!$M$5:$U$192,9,TRUE)=0,"",IF(ABS(D1115-VLOOKUP($D1115,Sheet1!$M$5:$U$192,9,TRUE))&lt;10^-10,"Alt.",D1115-VLOOKUP($D1115,Sheet1!$M$5:$U$192,9,TRUE)))</f>
        <v>-5.6531014358498055E-2</v>
      </c>
      <c r="V1115" s="132">
        <f>$D1115-Sheet1!$M$3*$R1115</f>
        <v>-0.17917930061124565</v>
      </c>
      <c r="Z1115" s="6"/>
      <c r="AA1115" s="61"/>
    </row>
    <row r="1116" spans="1:27" ht="13.5">
      <c r="A1116" s="6" t="s">
        <v>305</v>
      </c>
      <c r="B1116" s="6">
        <f>3^4*31</f>
        <v>2511</v>
      </c>
      <c r="C1116" s="6">
        <f>2^9*5</f>
        <v>2560</v>
      </c>
      <c r="D1116" s="13">
        <f t="shared" si="22"/>
        <v>33.458137939034728</v>
      </c>
      <c r="E1116" s="61">
        <v>31</v>
      </c>
      <c r="F1116" s="65">
        <v>36.831172574983242</v>
      </c>
      <c r="G1116" s="6">
        <v>139</v>
      </c>
      <c r="H1116" s="6">
        <v>134</v>
      </c>
      <c r="I1116" s="65">
        <v>-6.0601394475393571</v>
      </c>
      <c r="J1116" s="6">
        <f>VLOOKUP($D1116,Sheet1!$A$5:$C$192,3,TRUE)</f>
        <v>6</v>
      </c>
      <c r="K1116" s="42" t="str">
        <f>VLOOKUP($D1116,Sheet1!$A$5:$C$192,2,TRUE)</f>
        <v>(|</v>
      </c>
      <c r="L1116" s="6">
        <f>FLOOR(VLOOKUP($D1116,Sheet1!$D$5:$F$192,3,TRUE),1)</f>
        <v>14</v>
      </c>
      <c r="M1116" s="42" t="str">
        <f>VLOOKUP($D1116,Sheet1!$D$5:$F$192,2,TRUE)</f>
        <v>(|</v>
      </c>
      <c r="N1116" s="23">
        <f>FLOOR(VLOOKUP($D1116,Sheet1!$G$5:$I$192,3,TRUE),1)</f>
        <v>17</v>
      </c>
      <c r="O1116" s="42" t="str">
        <f>VLOOKUP($D1116,Sheet1!$G$5:$I$192,2,TRUE)</f>
        <v>(|</v>
      </c>
      <c r="P1116" s="23">
        <v>1</v>
      </c>
      <c r="Q1116" s="43" t="str">
        <f>VLOOKUP($D1116,Sheet1!$J$5:$L$192,2,TRUE)</f>
        <v>(|'</v>
      </c>
      <c r="R1116" s="23">
        <f>FLOOR(VLOOKUP($D1116,Sheet1!$M$5:$O$192,3,TRUE),1)</f>
        <v>69</v>
      </c>
      <c r="S1116" s="42" t="str">
        <f>VLOOKUP($D1116,Sheet1!$M$5:$O$192,2,TRUE)</f>
        <v>(|'</v>
      </c>
      <c r="T1116" s="117">
        <f>IF(ABS(D1116-VLOOKUP($D1116,Sheet1!$M$5:$T$192,8,TRUE))&lt;10^-10,"SoCA",D1116-VLOOKUP($D1116,Sheet1!$M$5:$T$192,8,TRUE))</f>
        <v>-0.11254925438758789</v>
      </c>
      <c r="U1116" s="109">
        <f>IF(VLOOKUP($D1116,Sheet1!$M$5:$U$192,9,TRUE)=0,"",IF(ABS(D1116-VLOOKUP($D1116,Sheet1!$M$5:$U$192,9,TRUE))&lt;10^-10,"Alt.",D1116-VLOOKUP($D1116,Sheet1!$M$5:$U$192,9,TRUE)))</f>
        <v>-8.5588959185152191E-2</v>
      </c>
      <c r="V1116" s="132">
        <f>$D1116-Sheet1!$M$3*$R1116</f>
        <v>-0.20823724543789979</v>
      </c>
      <c r="Z1116" s="6"/>
      <c r="AA1116" s="61"/>
    </row>
    <row r="1117" spans="1:27" ht="13.5">
      <c r="A1117" s="40" t="s">
        <v>1798</v>
      </c>
      <c r="B1117" s="40">
        <f>3^9*5</f>
        <v>98415</v>
      </c>
      <c r="C1117" s="105">
        <f>2^11*7^2</f>
        <v>100352</v>
      </c>
      <c r="D1117" s="13">
        <f t="shared" si="22"/>
        <v>33.743091284928141</v>
      </c>
      <c r="E1117" s="61">
        <v>7</v>
      </c>
      <c r="F1117" s="65">
        <v>45.280826012789319</v>
      </c>
      <c r="G1117" s="59">
        <v>107</v>
      </c>
      <c r="H1117" s="63">
        <v>1000003</v>
      </c>
      <c r="I1117" s="65">
        <v>-11.077685063187575</v>
      </c>
      <c r="J1117" s="6">
        <f>VLOOKUP($D1117,Sheet1!$A$5:$C$192,3,TRUE)</f>
        <v>6</v>
      </c>
      <c r="K1117" s="42" t="str">
        <f>VLOOKUP($D1117,Sheet1!$A$5:$C$192,2,TRUE)</f>
        <v>(|</v>
      </c>
      <c r="L1117" s="6">
        <f>FLOOR(VLOOKUP($D1117,Sheet1!$D$5:$F$192,3,TRUE),1)</f>
        <v>14</v>
      </c>
      <c r="M1117" s="42" t="str">
        <f>VLOOKUP($D1117,Sheet1!$D$5:$F$192,2,TRUE)</f>
        <v>(|</v>
      </c>
      <c r="N1117" s="23">
        <f>FLOOR(VLOOKUP($D1117,Sheet1!$G$5:$I$192,3,TRUE),1)</f>
        <v>17</v>
      </c>
      <c r="O1117" s="42" t="str">
        <f>VLOOKUP($D1117,Sheet1!$G$5:$I$192,2,TRUE)</f>
        <v>(|</v>
      </c>
      <c r="P1117" s="23">
        <v>1</v>
      </c>
      <c r="Q1117" s="43" t="str">
        <f>VLOOKUP($D1117,Sheet1!$J$5:$L$192,2,TRUE)</f>
        <v>(|'</v>
      </c>
      <c r="R1117" s="40">
        <f>FLOOR(VLOOKUP($D1117,Sheet1!$M$5:$O$192,3,TRUE),1)</f>
        <v>69</v>
      </c>
      <c r="S1117" s="46" t="str">
        <f>VLOOKUP($D1117,Sheet1!$M$5:$O$192,2,TRUE)</f>
        <v>.~|)</v>
      </c>
      <c r="T1117" s="116" t="str">
        <f>IF(ABS(D1117-VLOOKUP($D1117,Sheet1!$M$5:$T$192,8,TRUE))&lt;10^-10,"SoCA",D1117-VLOOKUP($D1117,Sheet1!$M$5:$T$192,8,TRUE))</f>
        <v>SoCA</v>
      </c>
      <c r="U1117" s="115" t="str">
        <f>IF(VLOOKUP($D1117,Sheet1!$M$5:$U$192,9,TRUE)=0,"",IF(ABS(D1117-VLOOKUP($D1117,Sheet1!$M$5:$U$192,9,TRUE))&lt;10^-10,"Alt.",D1117-VLOOKUP($D1117,Sheet1!$M$5:$U$192,9,TRUE)))</f>
        <v/>
      </c>
      <c r="V1117" s="132">
        <f>$D1117-Sheet1!$M$3*$R1117</f>
        <v>7.671610045551347E-2</v>
      </c>
      <c r="Z1117" s="6"/>
      <c r="AA1117" s="61"/>
    </row>
    <row r="1118" spans="1:27" ht="13.5">
      <c r="A1118" s="6" t="s">
        <v>461</v>
      </c>
      <c r="B1118" s="6">
        <f>5*11*13</f>
        <v>715</v>
      </c>
      <c r="C1118" s="6">
        <f>3^6</f>
        <v>729</v>
      </c>
      <c r="D1118" s="13">
        <f t="shared" si="22"/>
        <v>33.570687193422543</v>
      </c>
      <c r="E1118" s="61">
        <v>13</v>
      </c>
      <c r="F1118" s="65">
        <v>47.151917340608193</v>
      </c>
      <c r="G1118" s="6">
        <v>325</v>
      </c>
      <c r="H1118" s="6">
        <v>299</v>
      </c>
      <c r="I1118" s="65">
        <v>3.9329304848287272</v>
      </c>
      <c r="J1118" s="6">
        <f>VLOOKUP($D1118,Sheet1!$A$5:$C$192,3,TRUE)</f>
        <v>6</v>
      </c>
      <c r="K1118" s="42" t="str">
        <f>VLOOKUP($D1118,Sheet1!$A$5:$C$192,2,TRUE)</f>
        <v>(|</v>
      </c>
      <c r="L1118" s="6">
        <f>FLOOR(VLOOKUP($D1118,Sheet1!$D$5:$F$192,3,TRUE),1)</f>
        <v>14</v>
      </c>
      <c r="M1118" s="42" t="str">
        <f>VLOOKUP($D1118,Sheet1!$D$5:$F$192,2,TRUE)</f>
        <v>(|</v>
      </c>
      <c r="N1118" s="23">
        <f>FLOOR(VLOOKUP($D1118,Sheet1!$G$5:$I$192,3,TRUE),1)</f>
        <v>17</v>
      </c>
      <c r="O1118" s="42" t="str">
        <f>VLOOKUP($D1118,Sheet1!$G$5:$I$192,2,TRUE)</f>
        <v>(|</v>
      </c>
      <c r="P1118" s="23">
        <v>1</v>
      </c>
      <c r="Q1118" s="43" t="str">
        <f>VLOOKUP($D1118,Sheet1!$J$5:$L$192,2,TRUE)</f>
        <v>(|'</v>
      </c>
      <c r="R1118" s="23">
        <f>FLOOR(VLOOKUP($D1118,Sheet1!$M$5:$O$192,3,TRUE),1)</f>
        <v>69</v>
      </c>
      <c r="S1118" s="42" t="str">
        <f>VLOOKUP($D1118,Sheet1!$M$5:$O$192,2,TRUE)</f>
        <v>(|'</v>
      </c>
      <c r="T1118" s="124" t="str">
        <f>IF(ABS(D1118-VLOOKUP($D1118,Sheet1!$M$5:$T$192,8,TRUE))&lt;10^-10,"SoCA",D1118-VLOOKUP($D1118,Sheet1!$M$5:$T$192,8,TRUE))</f>
        <v>SoCA</v>
      </c>
      <c r="U1118" s="109">
        <f>IF(VLOOKUP($D1118,Sheet1!$M$5:$U$192,9,TRUE)=0,"",IF(ABS(D1118-VLOOKUP($D1118,Sheet1!$M$5:$U$192,9,TRUE))&lt;10^-10,"Alt.",D1118-VLOOKUP($D1118,Sheet1!$M$5:$U$192,9,TRUE)))</f>
        <v>2.6960295202663076E-2</v>
      </c>
      <c r="V1118" s="132">
        <f>$D1118-Sheet1!$M$3*$R1118</f>
        <v>-9.568799105008452E-2</v>
      </c>
      <c r="Z1118" s="6"/>
      <c r="AA1118" s="61"/>
    </row>
    <row r="1119" spans="1:27" ht="13.5">
      <c r="A1119" t="s">
        <v>1019</v>
      </c>
      <c r="B1119">
        <v>29792</v>
      </c>
      <c r="C1119">
        <v>30375</v>
      </c>
      <c r="D1119" s="13">
        <f t="shared" si="22"/>
        <v>33.551316850889236</v>
      </c>
      <c r="E1119" s="61">
        <v>19</v>
      </c>
      <c r="F1119" s="65">
        <v>48.428363077404434</v>
      </c>
      <c r="G1119" s="6">
        <v>937</v>
      </c>
      <c r="H1119" s="6">
        <v>867</v>
      </c>
      <c r="I1119" s="65">
        <v>2.934123187388503</v>
      </c>
      <c r="J1119" s="6">
        <f>VLOOKUP($D1119,Sheet1!$A$5:$C$192,3,TRUE)</f>
        <v>6</v>
      </c>
      <c r="K1119" s="42" t="str">
        <f>VLOOKUP($D1119,Sheet1!$A$5:$C$192,2,TRUE)</f>
        <v>(|</v>
      </c>
      <c r="L1119" s="6">
        <f>FLOOR(VLOOKUP($D1119,Sheet1!$D$5:$F$192,3,TRUE),1)</f>
        <v>14</v>
      </c>
      <c r="M1119" s="42" t="str">
        <f>VLOOKUP($D1119,Sheet1!$D$5:$F$192,2,TRUE)</f>
        <v>(|</v>
      </c>
      <c r="N1119" s="23">
        <f>FLOOR(VLOOKUP($D1119,Sheet1!$G$5:$I$192,3,TRUE),1)</f>
        <v>17</v>
      </c>
      <c r="O1119" s="42" t="str">
        <f>VLOOKUP($D1119,Sheet1!$G$5:$I$192,2,TRUE)</f>
        <v>(|</v>
      </c>
      <c r="P1119" s="23">
        <v>1</v>
      </c>
      <c r="Q1119" s="43" t="str">
        <f>VLOOKUP($D1119,Sheet1!$J$5:$L$192,2,TRUE)</f>
        <v>(|'</v>
      </c>
      <c r="R1119" s="23">
        <f>FLOOR(VLOOKUP($D1119,Sheet1!$M$5:$O$192,3,TRUE),1)</f>
        <v>69</v>
      </c>
      <c r="S1119" s="42" t="str">
        <f>VLOOKUP($D1119,Sheet1!$M$5:$O$192,2,TRUE)</f>
        <v>(|'</v>
      </c>
      <c r="T1119" s="117">
        <f>IF(ABS(D1119-VLOOKUP($D1119,Sheet1!$M$5:$T$192,8,TRUE))&lt;10^-10,"SoCA",D1119-VLOOKUP($D1119,Sheet1!$M$5:$T$192,8,TRUE))</f>
        <v>-1.9370342533079565E-2</v>
      </c>
      <c r="U1119" s="109">
        <f>IF(VLOOKUP($D1119,Sheet1!$M$5:$U$192,9,TRUE)=0,"",IF(ABS(D1119-VLOOKUP($D1119,Sheet1!$M$5:$U$192,9,TRUE))&lt;10^-10,"Alt.",D1119-VLOOKUP($D1119,Sheet1!$M$5:$U$192,9,TRUE)))</f>
        <v>7.589952669356137E-3</v>
      </c>
      <c r="V1119" s="132">
        <f>$D1119-Sheet1!$M$3*$R1119</f>
        <v>-0.11505833358339146</v>
      </c>
      <c r="Z1119" s="6"/>
      <c r="AA1119" s="61"/>
    </row>
    <row r="1120" spans="1:27" ht="13.5">
      <c r="A1120" s="6" t="s">
        <v>1866</v>
      </c>
      <c r="B1120">
        <v>4113747</v>
      </c>
      <c r="C1120">
        <v>4194304</v>
      </c>
      <c r="D1120" s="13">
        <f t="shared" si="22"/>
        <v>33.574033714454089</v>
      </c>
      <c r="E1120" s="61">
        <v>19</v>
      </c>
      <c r="F1120" s="65">
        <v>67.442330319552497</v>
      </c>
      <c r="G1120" s="59">
        <v>1702</v>
      </c>
      <c r="H1120" s="63">
        <v>1000071</v>
      </c>
      <c r="I1120" s="65">
        <v>-11.067275572663224</v>
      </c>
      <c r="J1120" s="6">
        <f>VLOOKUP($D1120,Sheet1!$A$5:$C$192,3,TRUE)</f>
        <v>6</v>
      </c>
      <c r="K1120" s="42" t="str">
        <f>VLOOKUP($D1120,Sheet1!$A$5:$C$192,2,TRUE)</f>
        <v>(|</v>
      </c>
      <c r="L1120" s="6">
        <f>FLOOR(VLOOKUP($D1120,Sheet1!$D$5:$F$192,3,TRUE),1)</f>
        <v>14</v>
      </c>
      <c r="M1120" s="42" t="str">
        <f>VLOOKUP($D1120,Sheet1!$D$5:$F$192,2,TRUE)</f>
        <v>(|</v>
      </c>
      <c r="N1120" s="23">
        <f>FLOOR(VLOOKUP($D1120,Sheet1!$G$5:$I$192,3,TRUE),1)</f>
        <v>17</v>
      </c>
      <c r="O1120" s="42" t="str">
        <f>VLOOKUP($D1120,Sheet1!$G$5:$I$192,2,TRUE)</f>
        <v>(|</v>
      </c>
      <c r="P1120" s="23">
        <v>1</v>
      </c>
      <c r="Q1120" s="43" t="str">
        <f>VLOOKUP($D1120,Sheet1!$J$5:$L$192,2,TRUE)</f>
        <v>(|'</v>
      </c>
      <c r="R1120" s="23">
        <f>FLOOR(VLOOKUP($D1120,Sheet1!$M$5:$O$192,3,TRUE),1)</f>
        <v>69</v>
      </c>
      <c r="S1120" s="42" t="str">
        <f>VLOOKUP($D1120,Sheet1!$M$5:$O$192,2,TRUE)</f>
        <v>(|'</v>
      </c>
      <c r="T1120" s="117">
        <f>IF(ABS(D1120-VLOOKUP($D1120,Sheet1!$M$5:$T$192,8,TRUE))&lt;10^-10,"SoCA",D1120-VLOOKUP($D1120,Sheet1!$M$5:$T$192,8,TRUE))</f>
        <v>3.3465210317729088E-3</v>
      </c>
      <c r="U1120" s="109">
        <f>IF(VLOOKUP($D1120,Sheet1!$M$5:$U$192,9,TRUE)=0,"",IF(ABS(D1120-VLOOKUP($D1120,Sheet1!$M$5:$U$192,9,TRUE))&lt;10^-10,"Alt.",D1120-VLOOKUP($D1120,Sheet1!$M$5:$U$192,9,TRUE)))</f>
        <v>3.0306816234208611E-2</v>
      </c>
      <c r="V1120" s="132">
        <f>$D1120-Sheet1!$M$3*$R1120</f>
        <v>-9.2341470018538985E-2</v>
      </c>
      <c r="Z1120" s="6"/>
      <c r="AA1120" s="61"/>
    </row>
    <row r="1121" spans="1:27" ht="13.5">
      <c r="A1121" t="s">
        <v>1259</v>
      </c>
      <c r="B1121">
        <v>2490368</v>
      </c>
      <c r="C1121">
        <v>2539107</v>
      </c>
      <c r="D1121" s="13">
        <f t="shared" si="22"/>
        <v>33.554698164089068</v>
      </c>
      <c r="E1121" s="61">
        <v>43</v>
      </c>
      <c r="F1121" s="65">
        <v>76.572203820210916</v>
      </c>
      <c r="G1121" s="6">
        <v>1029</v>
      </c>
      <c r="H1121" s="6">
        <v>1108</v>
      </c>
      <c r="I1121" s="65">
        <v>7.9339149876159949</v>
      </c>
      <c r="J1121" s="6">
        <f>VLOOKUP($D1121,Sheet1!$A$5:$C$192,3,TRUE)</f>
        <v>6</v>
      </c>
      <c r="K1121" s="42" t="str">
        <f>VLOOKUP($D1121,Sheet1!$A$5:$C$192,2,TRUE)</f>
        <v>(|</v>
      </c>
      <c r="L1121" s="6">
        <f>FLOOR(VLOOKUP($D1121,Sheet1!$D$5:$F$192,3,TRUE),1)</f>
        <v>14</v>
      </c>
      <c r="M1121" s="42" t="str">
        <f>VLOOKUP($D1121,Sheet1!$D$5:$F$192,2,TRUE)</f>
        <v>(|</v>
      </c>
      <c r="N1121" s="23">
        <f>FLOOR(VLOOKUP($D1121,Sheet1!$G$5:$I$192,3,TRUE),1)</f>
        <v>17</v>
      </c>
      <c r="O1121" s="42" t="str">
        <f>VLOOKUP($D1121,Sheet1!$G$5:$I$192,2,TRUE)</f>
        <v>(|</v>
      </c>
      <c r="P1121" s="23">
        <v>1</v>
      </c>
      <c r="Q1121" s="43" t="str">
        <f>VLOOKUP($D1121,Sheet1!$J$5:$L$192,2,TRUE)</f>
        <v>(|'</v>
      </c>
      <c r="R1121" s="23">
        <f>FLOOR(VLOOKUP($D1121,Sheet1!$M$5:$O$192,3,TRUE),1)</f>
        <v>69</v>
      </c>
      <c r="S1121" s="42" t="str">
        <f>VLOOKUP($D1121,Sheet1!$M$5:$O$192,2,TRUE)</f>
        <v>(|'</v>
      </c>
      <c r="T1121" s="117">
        <f>IF(ABS(D1121-VLOOKUP($D1121,Sheet1!$M$5:$T$192,8,TRUE))&lt;10^-10,"SoCA",D1121-VLOOKUP($D1121,Sheet1!$M$5:$T$192,8,TRUE))</f>
        <v>-1.5989029333248084E-2</v>
      </c>
      <c r="U1121" s="109">
        <f>IF(VLOOKUP($D1121,Sheet1!$M$5:$U$192,9,TRUE)=0,"",IF(ABS(D1121-VLOOKUP($D1121,Sheet1!$M$5:$U$192,9,TRUE))&lt;10^-10,"Alt.",D1121-VLOOKUP($D1121,Sheet1!$M$5:$U$192,9,TRUE)))</f>
        <v>1.0971265869187619E-2</v>
      </c>
      <c r="V1121" s="132">
        <f>$D1121-Sheet1!$M$3*$R1121</f>
        <v>-0.11167702038355998</v>
      </c>
      <c r="Z1121" s="6"/>
      <c r="AA1121" s="61"/>
    </row>
    <row r="1122" spans="1:27" ht="13.5">
      <c r="A1122" t="s">
        <v>696</v>
      </c>
      <c r="B1122">
        <v>37888</v>
      </c>
      <c r="C1122">
        <v>38637</v>
      </c>
      <c r="D1122" s="13">
        <f t="shared" si="22"/>
        <v>33.89051191342395</v>
      </c>
      <c r="E1122" s="61" t="s">
        <v>1931</v>
      </c>
      <c r="F1122" s="65">
        <v>90.987519803263581</v>
      </c>
      <c r="G1122" s="6">
        <v>583</v>
      </c>
      <c r="H1122" s="6">
        <v>541</v>
      </c>
      <c r="I1122" s="65">
        <v>3.9132377116333479</v>
      </c>
      <c r="J1122" s="6">
        <f>VLOOKUP($D1122,Sheet1!$A$5:$C$192,3,TRUE)</f>
        <v>6</v>
      </c>
      <c r="K1122" s="42" t="str">
        <f>VLOOKUP($D1122,Sheet1!$A$5:$C$192,2,TRUE)</f>
        <v>(|</v>
      </c>
      <c r="L1122" s="6">
        <f>FLOOR(VLOOKUP($D1122,Sheet1!$D$5:$F$192,3,TRUE),1)</f>
        <v>14</v>
      </c>
      <c r="M1122" s="42" t="str">
        <f>VLOOKUP($D1122,Sheet1!$D$5:$F$192,2,TRUE)</f>
        <v>(|</v>
      </c>
      <c r="N1122" s="23">
        <f>FLOOR(VLOOKUP($D1122,Sheet1!$G$5:$I$192,3,TRUE),1)</f>
        <v>17</v>
      </c>
      <c r="O1122" s="42" t="str">
        <f>VLOOKUP($D1122,Sheet1!$G$5:$I$192,2,TRUE)</f>
        <v>(|</v>
      </c>
      <c r="P1122" s="23">
        <v>1</v>
      </c>
      <c r="Q1122" s="43" t="str">
        <f>VLOOKUP($D1122,Sheet1!$J$5:$L$192,2,TRUE)</f>
        <v>(|'</v>
      </c>
      <c r="R1122" s="23">
        <f>FLOOR(VLOOKUP($D1122,Sheet1!$M$5:$O$192,3,TRUE),1)</f>
        <v>69</v>
      </c>
      <c r="S1122" s="42" t="str">
        <f>VLOOKUP($D1122,Sheet1!$M$5:$O$192,2,TRUE)</f>
        <v>.~|)</v>
      </c>
      <c r="T1122" s="117">
        <f>IF(ABS(D1122-VLOOKUP($D1122,Sheet1!$M$5:$T$192,8,TRUE))&lt;10^-10,"SoCA",D1122-VLOOKUP($D1122,Sheet1!$M$5:$T$192,8,TRUE))</f>
        <v>0.1474206284957873</v>
      </c>
      <c r="U1122" s="109" t="str">
        <f>IF(VLOOKUP($D1122,Sheet1!$M$5:$U$192,9,TRUE)=0,"",IF(ABS(D1122-VLOOKUP($D1122,Sheet1!$M$5:$U$192,9,TRUE))&lt;10^-10,"Alt.",D1122-VLOOKUP($D1122,Sheet1!$M$5:$U$192,9,TRUE)))</f>
        <v/>
      </c>
      <c r="V1122" s="132">
        <f>$D1122-Sheet1!$M$3*$R1122</f>
        <v>0.22413672895132208</v>
      </c>
      <c r="Z1122" s="6"/>
      <c r="AA1122" s="61"/>
    </row>
    <row r="1123" spans="1:27" ht="13.5">
      <c r="A1123" t="s">
        <v>1514</v>
      </c>
      <c r="B1123">
        <v>1679360</v>
      </c>
      <c r="C1123">
        <v>1712421</v>
      </c>
      <c r="D1123" s="13">
        <f t="shared" si="22"/>
        <v>33.751083400425422</v>
      </c>
      <c r="E1123" s="61">
        <v>41</v>
      </c>
      <c r="F1123" s="65">
        <v>105.1956593988042</v>
      </c>
      <c r="G1123" s="6">
        <v>1421</v>
      </c>
      <c r="H1123" s="6">
        <v>1363</v>
      </c>
      <c r="I1123" s="65">
        <v>7.9218228331443958</v>
      </c>
      <c r="J1123" s="6">
        <f>VLOOKUP($D1123,Sheet1!$A$5:$C$192,3,TRUE)</f>
        <v>6</v>
      </c>
      <c r="K1123" s="42" t="str">
        <f>VLOOKUP($D1123,Sheet1!$A$5:$C$192,2,TRUE)</f>
        <v>(|</v>
      </c>
      <c r="L1123" s="6">
        <f>FLOOR(VLOOKUP($D1123,Sheet1!$D$5:$F$192,3,TRUE),1)</f>
        <v>14</v>
      </c>
      <c r="M1123" s="42" t="str">
        <f>VLOOKUP($D1123,Sheet1!$D$5:$F$192,2,TRUE)</f>
        <v>(|</v>
      </c>
      <c r="N1123" s="23">
        <f>FLOOR(VLOOKUP($D1123,Sheet1!$G$5:$I$192,3,TRUE),1)</f>
        <v>17</v>
      </c>
      <c r="O1123" s="42" t="str">
        <f>VLOOKUP($D1123,Sheet1!$G$5:$I$192,2,TRUE)</f>
        <v>(|</v>
      </c>
      <c r="P1123" s="23">
        <v>1</v>
      </c>
      <c r="Q1123" s="43" t="str">
        <f>VLOOKUP($D1123,Sheet1!$J$5:$L$192,2,TRUE)</f>
        <v>(|'</v>
      </c>
      <c r="R1123" s="23">
        <f>FLOOR(VLOOKUP($D1123,Sheet1!$M$5:$O$192,3,TRUE),1)</f>
        <v>69</v>
      </c>
      <c r="S1123" s="42" t="str">
        <f>VLOOKUP($D1123,Sheet1!$M$5:$O$192,2,TRUE)</f>
        <v>.~|)</v>
      </c>
      <c r="T1123" s="117">
        <f>IF(ABS(D1123-VLOOKUP($D1123,Sheet1!$M$5:$T$192,8,TRUE))&lt;10^-10,"SoCA",D1123-VLOOKUP($D1123,Sheet1!$M$5:$T$192,8,TRUE))</f>
        <v>7.9921154972595332E-3</v>
      </c>
      <c r="U1123" s="109" t="str">
        <f>IF(VLOOKUP($D1123,Sheet1!$M$5:$U$192,9,TRUE)=0,"",IF(ABS(D1123-VLOOKUP($D1123,Sheet1!$M$5:$U$192,9,TRUE))&lt;10^-10,"Alt.",D1123-VLOOKUP($D1123,Sheet1!$M$5:$U$192,9,TRUE)))</f>
        <v/>
      </c>
      <c r="V1123" s="132">
        <f>$D1123-Sheet1!$M$3*$R1123</f>
        <v>8.4708215952794319E-2</v>
      </c>
      <c r="Z1123" s="6"/>
      <c r="AA1123" s="61"/>
    </row>
    <row r="1124" spans="1:27" ht="13.5">
      <c r="A1124" t="s">
        <v>1324</v>
      </c>
      <c r="B1124">
        <v>10368</v>
      </c>
      <c r="C1124">
        <v>10571</v>
      </c>
      <c r="D1124" s="13">
        <f t="shared" ref="D1124:D1155" si="23">1200*LN($C1124/$B1124)/LN(2)</f>
        <v>33.569083831707609</v>
      </c>
      <c r="E1124" s="61">
        <v>31</v>
      </c>
      <c r="F1124" s="65">
        <v>117.7903039728</v>
      </c>
      <c r="G1124" s="6">
        <v>1234</v>
      </c>
      <c r="H1124" s="6">
        <v>1173</v>
      </c>
      <c r="I1124" s="65">
        <v>-6.066970790349119</v>
      </c>
      <c r="J1124" s="6">
        <f>VLOOKUP($D1124,Sheet1!$A$5:$C$192,3,TRUE)</f>
        <v>6</v>
      </c>
      <c r="K1124" s="42" t="str">
        <f>VLOOKUP($D1124,Sheet1!$A$5:$C$192,2,TRUE)</f>
        <v>(|</v>
      </c>
      <c r="L1124" s="6">
        <f>FLOOR(VLOOKUP($D1124,Sheet1!$D$5:$F$192,3,TRUE),1)</f>
        <v>14</v>
      </c>
      <c r="M1124" s="42" t="str">
        <f>VLOOKUP($D1124,Sheet1!$D$5:$F$192,2,TRUE)</f>
        <v>(|</v>
      </c>
      <c r="N1124" s="23">
        <f>FLOOR(VLOOKUP($D1124,Sheet1!$G$5:$I$192,3,TRUE),1)</f>
        <v>17</v>
      </c>
      <c r="O1124" s="42" t="str">
        <f>VLOOKUP($D1124,Sheet1!$G$5:$I$192,2,TRUE)</f>
        <v>(|</v>
      </c>
      <c r="P1124" s="23">
        <v>1</v>
      </c>
      <c r="Q1124" s="43" t="str">
        <f>VLOOKUP($D1124,Sheet1!$J$5:$L$192,2,TRUE)</f>
        <v>(|'</v>
      </c>
      <c r="R1124" s="23">
        <f>FLOOR(VLOOKUP($D1124,Sheet1!$M$5:$O$192,3,TRUE),1)</f>
        <v>69</v>
      </c>
      <c r="S1124" s="42" t="str">
        <f>VLOOKUP($D1124,Sheet1!$M$5:$O$192,2,TRUE)</f>
        <v>(|'</v>
      </c>
      <c r="T1124" s="117">
        <f>IF(ABS(D1124-VLOOKUP($D1124,Sheet1!$M$5:$T$192,8,TRUE))&lt;10^-10,"SoCA",D1124-VLOOKUP($D1124,Sheet1!$M$5:$T$192,8,TRUE))</f>
        <v>-1.6033617147073187E-3</v>
      </c>
      <c r="U1124" s="109">
        <f>IF(VLOOKUP($D1124,Sheet1!$M$5:$U$192,9,TRUE)=0,"",IF(ABS(D1124-VLOOKUP($D1124,Sheet1!$M$5:$U$192,9,TRUE))&lt;10^-10,"Alt.",D1124-VLOOKUP($D1124,Sheet1!$M$5:$U$192,9,TRUE)))</f>
        <v>2.5356933487728384E-2</v>
      </c>
      <c r="V1124" s="132">
        <f>$D1124-Sheet1!$M$3*$R1124</f>
        <v>-9.7291352765019212E-2</v>
      </c>
      <c r="Z1124" s="6"/>
      <c r="AA1124" s="61"/>
    </row>
    <row r="1125" spans="1:27" ht="13.5">
      <c r="A1125" t="s">
        <v>524</v>
      </c>
      <c r="B1125">
        <v>823543</v>
      </c>
      <c r="C1125">
        <v>839808</v>
      </c>
      <c r="D1125" s="13">
        <f t="shared" si="23"/>
        <v>33.858661639224984</v>
      </c>
      <c r="E1125" s="61">
        <v>7</v>
      </c>
      <c r="F1125" s="65">
        <v>121.03559813222834</v>
      </c>
      <c r="G1125" s="6">
        <v>382</v>
      </c>
      <c r="H1125" s="6">
        <v>367</v>
      </c>
      <c r="I1125" s="65">
        <v>5.9151988490526453</v>
      </c>
      <c r="J1125" s="6">
        <f>VLOOKUP($D1125,Sheet1!$A$5:$C$192,3,TRUE)</f>
        <v>6</v>
      </c>
      <c r="K1125" s="42" t="str">
        <f>VLOOKUP($D1125,Sheet1!$A$5:$C$192,2,TRUE)</f>
        <v>(|</v>
      </c>
      <c r="L1125" s="6">
        <f>FLOOR(VLOOKUP($D1125,Sheet1!$D$5:$F$192,3,TRUE),1)</f>
        <v>14</v>
      </c>
      <c r="M1125" s="42" t="str">
        <f>VLOOKUP($D1125,Sheet1!$D$5:$F$192,2,TRUE)</f>
        <v>(|</v>
      </c>
      <c r="N1125" s="23">
        <f>FLOOR(VLOOKUP($D1125,Sheet1!$G$5:$I$192,3,TRUE),1)</f>
        <v>17</v>
      </c>
      <c r="O1125" s="42" t="str">
        <f>VLOOKUP($D1125,Sheet1!$G$5:$I$192,2,TRUE)</f>
        <v>(|</v>
      </c>
      <c r="P1125" s="23">
        <v>1</v>
      </c>
      <c r="Q1125" s="43" t="str">
        <f>VLOOKUP($D1125,Sheet1!$J$5:$L$192,2,TRUE)</f>
        <v>(|'</v>
      </c>
      <c r="R1125" s="23">
        <f>FLOOR(VLOOKUP($D1125,Sheet1!$M$5:$O$192,3,TRUE),1)</f>
        <v>69</v>
      </c>
      <c r="S1125" s="42" t="str">
        <f>VLOOKUP($D1125,Sheet1!$M$5:$O$192,2,TRUE)</f>
        <v>.~|)</v>
      </c>
      <c r="T1125" s="117">
        <f>IF(ABS(D1125-VLOOKUP($D1125,Sheet1!$M$5:$T$192,8,TRUE))&lt;10^-10,"SoCA",D1125-VLOOKUP($D1125,Sheet1!$M$5:$T$192,8,TRUE))</f>
        <v>0.11557035429682117</v>
      </c>
      <c r="U1125" s="109" t="str">
        <f>IF(VLOOKUP($D1125,Sheet1!$M$5:$U$192,9,TRUE)=0,"",IF(ABS(D1125-VLOOKUP($D1125,Sheet1!$M$5:$U$192,9,TRUE))&lt;10^-10,"Alt.",D1125-VLOOKUP($D1125,Sheet1!$M$5:$U$192,9,TRUE)))</f>
        <v/>
      </c>
      <c r="V1125" s="132">
        <f>$D1125-Sheet1!$M$3*$R1125</f>
        <v>0.19228645475235595</v>
      </c>
      <c r="Z1125" s="6"/>
      <c r="AA1125" s="61"/>
    </row>
    <row r="1126" spans="1:27" ht="13.5">
      <c r="A1126" t="s">
        <v>1052</v>
      </c>
      <c r="B1126">
        <v>1409024</v>
      </c>
      <c r="C1126">
        <v>1436859</v>
      </c>
      <c r="D1126" s="13">
        <f t="shared" si="23"/>
        <v>33.866772801990024</v>
      </c>
      <c r="E1126" s="61" t="s">
        <v>1931</v>
      </c>
      <c r="F1126" s="65">
        <v>124.33662249225213</v>
      </c>
      <c r="G1126" s="6">
        <v>826</v>
      </c>
      <c r="H1126" s="6">
        <v>900</v>
      </c>
      <c r="I1126" s="65">
        <v>6.9146994152106265</v>
      </c>
      <c r="J1126" s="6">
        <f>VLOOKUP($D1126,Sheet1!$A$5:$C$192,3,TRUE)</f>
        <v>6</v>
      </c>
      <c r="K1126" s="42" t="str">
        <f>VLOOKUP($D1126,Sheet1!$A$5:$C$192,2,TRUE)</f>
        <v>(|</v>
      </c>
      <c r="L1126" s="6">
        <f>FLOOR(VLOOKUP($D1126,Sheet1!$D$5:$F$192,3,TRUE),1)</f>
        <v>14</v>
      </c>
      <c r="M1126" s="42" t="str">
        <f>VLOOKUP($D1126,Sheet1!$D$5:$F$192,2,TRUE)</f>
        <v>(|</v>
      </c>
      <c r="N1126" s="23">
        <f>FLOOR(VLOOKUP($D1126,Sheet1!$G$5:$I$192,3,TRUE),1)</f>
        <v>17</v>
      </c>
      <c r="O1126" s="42" t="str">
        <f>VLOOKUP($D1126,Sheet1!$G$5:$I$192,2,TRUE)</f>
        <v>(|</v>
      </c>
      <c r="P1126" s="23">
        <v>1</v>
      </c>
      <c r="Q1126" s="43" t="str">
        <f>VLOOKUP($D1126,Sheet1!$J$5:$L$192,2,TRUE)</f>
        <v>(|'</v>
      </c>
      <c r="R1126" s="23">
        <f>FLOOR(VLOOKUP($D1126,Sheet1!$M$5:$O$192,3,TRUE),1)</f>
        <v>69</v>
      </c>
      <c r="S1126" s="42" t="str">
        <f>VLOOKUP($D1126,Sheet1!$M$5:$O$192,2,TRUE)</f>
        <v>.~|)</v>
      </c>
      <c r="T1126" s="117">
        <f>IF(ABS(D1126-VLOOKUP($D1126,Sheet1!$M$5:$T$192,8,TRUE))&lt;10^-10,"SoCA",D1126-VLOOKUP($D1126,Sheet1!$M$5:$T$192,8,TRUE))</f>
        <v>0.12368151706186126</v>
      </c>
      <c r="U1126" s="109" t="str">
        <f>IF(VLOOKUP($D1126,Sheet1!$M$5:$U$192,9,TRUE)=0,"",IF(ABS(D1126-VLOOKUP($D1126,Sheet1!$M$5:$U$192,9,TRUE))&lt;10^-10,"Alt.",D1126-VLOOKUP($D1126,Sheet1!$M$5:$U$192,9,TRUE)))</f>
        <v/>
      </c>
      <c r="V1126" s="132">
        <f>$D1126-Sheet1!$M$3*$R1126</f>
        <v>0.20039761751739604</v>
      </c>
      <c r="Z1126" s="6"/>
      <c r="AA1126" s="61"/>
    </row>
    <row r="1127" spans="1:27" ht="13.5">
      <c r="A1127" t="s">
        <v>1327</v>
      </c>
      <c r="B1127">
        <v>156897</v>
      </c>
      <c r="C1127">
        <v>160000</v>
      </c>
      <c r="D1127" s="13">
        <f t="shared" si="23"/>
        <v>33.904965673885265</v>
      </c>
      <c r="E1127" s="61" t="s">
        <v>1931</v>
      </c>
      <c r="F1127" s="65">
        <v>256.01009494197916</v>
      </c>
      <c r="G1127" s="6">
        <v>1237</v>
      </c>
      <c r="H1127" s="6">
        <v>1176</v>
      </c>
      <c r="I1127" s="65">
        <v>-6.0876522590561715</v>
      </c>
      <c r="J1127" s="6">
        <f>VLOOKUP($D1127,Sheet1!$A$5:$C$192,3,TRUE)</f>
        <v>6</v>
      </c>
      <c r="K1127" s="42" t="str">
        <f>VLOOKUP($D1127,Sheet1!$A$5:$C$192,2,TRUE)</f>
        <v>(|</v>
      </c>
      <c r="L1127" s="6">
        <f>FLOOR(VLOOKUP($D1127,Sheet1!$D$5:$F$192,3,TRUE),1)</f>
        <v>14</v>
      </c>
      <c r="M1127" s="42" t="str">
        <f>VLOOKUP($D1127,Sheet1!$D$5:$F$192,2,TRUE)</f>
        <v>(|</v>
      </c>
      <c r="N1127" s="23">
        <f>FLOOR(VLOOKUP($D1127,Sheet1!$G$5:$I$192,3,TRUE),1)</f>
        <v>17</v>
      </c>
      <c r="O1127" s="42" t="str">
        <f>VLOOKUP($D1127,Sheet1!$G$5:$I$192,2,TRUE)</f>
        <v>(|</v>
      </c>
      <c r="P1127" s="23">
        <v>1</v>
      </c>
      <c r="Q1127" s="43" t="str">
        <f>VLOOKUP($D1127,Sheet1!$J$5:$L$192,2,TRUE)</f>
        <v>(|'</v>
      </c>
      <c r="R1127" s="23">
        <f>FLOOR(VLOOKUP($D1127,Sheet1!$M$5:$O$192,3,TRUE),1)</f>
        <v>69</v>
      </c>
      <c r="S1127" s="42" t="str">
        <f>VLOOKUP($D1127,Sheet1!$M$5:$O$192,2,TRUE)</f>
        <v>.~|)</v>
      </c>
      <c r="T1127" s="117">
        <f>IF(ABS(D1127-VLOOKUP($D1127,Sheet1!$M$5:$T$192,8,TRUE))&lt;10^-10,"SoCA",D1127-VLOOKUP($D1127,Sheet1!$M$5:$T$192,8,TRUE))</f>
        <v>0.16187438895710216</v>
      </c>
      <c r="U1127" s="109" t="str">
        <f>IF(VLOOKUP($D1127,Sheet1!$M$5:$U$192,9,TRUE)=0,"",IF(ABS(D1127-VLOOKUP($D1127,Sheet1!$M$5:$U$192,9,TRUE))&lt;10^-10,"Alt.",D1127-VLOOKUP($D1127,Sheet1!$M$5:$U$192,9,TRUE)))</f>
        <v/>
      </c>
      <c r="V1127" s="132">
        <f>$D1127-Sheet1!$M$3*$R1127</f>
        <v>0.23859048941263694</v>
      </c>
      <c r="Z1127" s="6"/>
      <c r="AA1127" s="61"/>
    </row>
    <row r="1128" spans="1:27" ht="13.5">
      <c r="A1128" s="87" t="s">
        <v>136</v>
      </c>
      <c r="B1128" s="87">
        <f>2*5^2</f>
        <v>50</v>
      </c>
      <c r="C1128" s="87">
        <f>3*17</f>
        <v>51</v>
      </c>
      <c r="D1128" s="13">
        <f t="shared" si="23"/>
        <v>34.282982636125098</v>
      </c>
      <c r="E1128" s="61">
        <v>17</v>
      </c>
      <c r="F1128" s="65">
        <v>32.438690426229471</v>
      </c>
      <c r="G1128" s="6">
        <v>190</v>
      </c>
      <c r="H1128" s="6">
        <v>170</v>
      </c>
      <c r="I1128" s="65">
        <v>-1.1109281406120517</v>
      </c>
      <c r="J1128" s="6">
        <f>VLOOKUP($D1128,Sheet1!$A$5:$C$192,3,TRUE)</f>
        <v>6</v>
      </c>
      <c r="K1128" s="42" t="str">
        <f>VLOOKUP($D1128,Sheet1!$A$5:$C$192,2,TRUE)</f>
        <v>(|</v>
      </c>
      <c r="L1128" s="6">
        <f>FLOOR(VLOOKUP($D1128,Sheet1!$D$5:$F$192,3,TRUE),1)</f>
        <v>14</v>
      </c>
      <c r="M1128" s="42" t="str">
        <f>VLOOKUP($D1128,Sheet1!$D$5:$F$192,2,TRUE)</f>
        <v>(|</v>
      </c>
      <c r="N1128" s="23">
        <f>FLOOR(VLOOKUP($D1128,Sheet1!$G$5:$I$192,3,TRUE),1)</f>
        <v>17</v>
      </c>
      <c r="O1128" s="42" t="str">
        <f>VLOOKUP($D1128,Sheet1!$G$5:$I$192,2,TRUE)</f>
        <v>(|</v>
      </c>
      <c r="P1128" s="23">
        <v>1</v>
      </c>
      <c r="Q1128" s="45" t="str">
        <f>VLOOKUP($D1128,Sheet1!$J$5:$L$192,2,TRUE)</f>
        <v>(|''</v>
      </c>
      <c r="R1128" s="38">
        <f>FLOOR(VLOOKUP($D1128,Sheet1!$M$5:$O$192,3,TRUE),1)</f>
        <v>70</v>
      </c>
      <c r="S1128" s="45" t="str">
        <f>VLOOKUP($D1128,Sheet1!$M$5:$O$192,2,TRUE)</f>
        <v>(|''</v>
      </c>
      <c r="T1128" s="128">
        <f>IF(ABS(D1128-VLOOKUP($D1128,Sheet1!$M$5:$T$192,8,TRUE))&lt;10^-10,"SoCA",D1128-VLOOKUP($D1128,Sheet1!$M$5:$T$192,8,TRUE))</f>
        <v>0.30248740455601109</v>
      </c>
      <c r="U1128" s="128">
        <f>IF(VLOOKUP($D1128,Sheet1!$M$5:$U$192,9,TRUE)=0,"",IF(ABS(D1128-VLOOKUP($D1128,Sheet1!$M$5:$U$192,9,TRUE))&lt;10^-10,"Alt.",D1128-VLOOKUP($D1128,Sheet1!$M$5:$U$192,9,TRUE)))</f>
        <v>0.31653957195046445</v>
      </c>
      <c r="V1128" s="133">
        <f>$D1128-Sheet1!$M$3*$R1128</f>
        <v>0.1286889707180805</v>
      </c>
      <c r="Z1128" s="6"/>
      <c r="AA1128" s="61"/>
    </row>
    <row r="1129" spans="1:27" ht="13.5">
      <c r="A1129" s="23" t="s">
        <v>814</v>
      </c>
      <c r="B1129" s="23">
        <f>2^4*7*13</f>
        <v>1456</v>
      </c>
      <c r="C1129" s="23">
        <f>3^3*5*11</f>
        <v>1485</v>
      </c>
      <c r="D1129" s="13">
        <f t="shared" si="23"/>
        <v>34.143090587318135</v>
      </c>
      <c r="E1129" s="61">
        <v>13</v>
      </c>
      <c r="F1129" s="65">
        <v>36.099099313994017</v>
      </c>
      <c r="G1129" s="6">
        <v>747</v>
      </c>
      <c r="H1129" s="6">
        <v>661</v>
      </c>
      <c r="I1129" s="65">
        <v>0.89768552248747469</v>
      </c>
      <c r="J1129" s="6">
        <f>VLOOKUP($D1129,Sheet1!$A$5:$C$192,3,TRUE)</f>
        <v>6</v>
      </c>
      <c r="K1129" s="42" t="str">
        <f>VLOOKUP($D1129,Sheet1!$A$5:$C$192,2,TRUE)</f>
        <v>(|</v>
      </c>
      <c r="L1129" s="6">
        <f>FLOOR(VLOOKUP($D1129,Sheet1!$D$5:$F$192,3,TRUE),1)</f>
        <v>14</v>
      </c>
      <c r="M1129" s="42" t="str">
        <f>VLOOKUP($D1129,Sheet1!$D$5:$F$192,2,TRUE)</f>
        <v>(|</v>
      </c>
      <c r="N1129" s="23">
        <f>FLOOR(VLOOKUP($D1129,Sheet1!$G$5:$I$192,3,TRUE),1)</f>
        <v>17</v>
      </c>
      <c r="O1129" s="42" t="str">
        <f>VLOOKUP($D1129,Sheet1!$G$5:$I$192,2,TRUE)</f>
        <v>(|</v>
      </c>
      <c r="P1129" s="23">
        <v>1</v>
      </c>
      <c r="Q1129" s="43" t="str">
        <f>VLOOKUP($D1129,Sheet1!$J$5:$L$192,2,TRUE)</f>
        <v>(|''</v>
      </c>
      <c r="R1129" s="23">
        <f>FLOOR(VLOOKUP($D1129,Sheet1!$M$5:$O$192,3,TRUE),1)</f>
        <v>70</v>
      </c>
      <c r="S1129" s="43" t="str">
        <f>VLOOKUP($D1129,Sheet1!$M$5:$O$192,2,TRUE)</f>
        <v>(|''</v>
      </c>
      <c r="T1129" s="117">
        <f>IF(ABS(D1129-VLOOKUP($D1129,Sheet1!$M$5:$T$192,8,TRUE))&lt;10^-10,"SoCA",D1129-VLOOKUP($D1129,Sheet1!$M$5:$T$192,8,TRUE))</f>
        <v>0.1625953557490476</v>
      </c>
      <c r="U1129" s="117">
        <f>IF(VLOOKUP($D1129,Sheet1!$M$5:$U$192,9,TRUE)=0,"",IF(ABS(D1129-VLOOKUP($D1129,Sheet1!$M$5:$U$192,9,TRUE))&lt;10^-10,"Alt.",D1129-VLOOKUP($D1129,Sheet1!$M$5:$U$192,9,TRUE)))</f>
        <v>0.17664752314350096</v>
      </c>
      <c r="V1129" s="134">
        <f>$D1129-Sheet1!$M$3*$R1129</f>
        <v>-1.120307808888299E-2</v>
      </c>
      <c r="Z1129" s="6"/>
      <c r="AA1129" s="61"/>
    </row>
    <row r="1130" spans="1:27" ht="13.5">
      <c r="A1130" s="23" t="s">
        <v>1015</v>
      </c>
      <c r="B1130" s="23">
        <f>2^7*11^2</f>
        <v>15488</v>
      </c>
      <c r="C1130" s="23">
        <f>3^5*5*13</f>
        <v>15795</v>
      </c>
      <c r="D1130" s="13">
        <f t="shared" si="23"/>
        <v>33.98049523156908</v>
      </c>
      <c r="E1130" s="61">
        <v>13</v>
      </c>
      <c r="F1130" s="65">
        <v>40.407839374253768</v>
      </c>
      <c r="G1130" s="6">
        <v>932</v>
      </c>
      <c r="H1130" s="6">
        <v>863</v>
      </c>
      <c r="I1130" s="65">
        <v>2.9076971109080758</v>
      </c>
      <c r="J1130" s="6">
        <f>VLOOKUP($D1130,Sheet1!$A$5:$C$192,3,TRUE)</f>
        <v>6</v>
      </c>
      <c r="K1130" s="42" t="str">
        <f>VLOOKUP($D1130,Sheet1!$A$5:$C$192,2,TRUE)</f>
        <v>(|</v>
      </c>
      <c r="L1130" s="6">
        <f>FLOOR(VLOOKUP($D1130,Sheet1!$D$5:$F$192,3,TRUE),1)</f>
        <v>14</v>
      </c>
      <c r="M1130" s="42" t="str">
        <f>VLOOKUP($D1130,Sheet1!$D$5:$F$192,2,TRUE)</f>
        <v>(|</v>
      </c>
      <c r="N1130" s="23">
        <f>FLOOR(VLOOKUP($D1130,Sheet1!$G$5:$I$192,3,TRUE),1)</f>
        <v>17</v>
      </c>
      <c r="O1130" s="42" t="str">
        <f>VLOOKUP($D1130,Sheet1!$G$5:$I$192,2,TRUE)</f>
        <v>(|</v>
      </c>
      <c r="P1130" s="23">
        <v>1</v>
      </c>
      <c r="Q1130" s="43" t="str">
        <f>VLOOKUP($D1130,Sheet1!$J$5:$L$192,2,TRUE)</f>
        <v>(|''</v>
      </c>
      <c r="R1130" s="23">
        <f>FLOOR(VLOOKUP($D1130,Sheet1!$M$5:$O$192,3,TRUE),1)</f>
        <v>70</v>
      </c>
      <c r="S1130" s="43" t="str">
        <f>VLOOKUP($D1130,Sheet1!$M$5:$O$192,2,TRUE)</f>
        <v>(|''</v>
      </c>
      <c r="T1130" s="124" t="str">
        <f>IF(ABS(D1130-VLOOKUP($D1130,Sheet1!$M$5:$T$192,8,TRUE))&lt;10^-10,"SoCA",D1130-VLOOKUP($D1130,Sheet1!$M$5:$T$192,8,TRUE))</f>
        <v>SoCA</v>
      </c>
      <c r="U1130" s="117">
        <f>IF(VLOOKUP($D1130,Sheet1!$M$5:$U$192,9,TRUE)=0,"",IF(ABS(D1130-VLOOKUP($D1130,Sheet1!$M$5:$U$192,9,TRUE))&lt;10^-10,"Alt.",D1130-VLOOKUP($D1130,Sheet1!$M$5:$U$192,9,TRUE)))</f>
        <v>1.4052167394446258E-2</v>
      </c>
      <c r="V1130" s="132">
        <f>$D1130-Sheet1!$M$3*$R1130</f>
        <v>-0.17379843383793769</v>
      </c>
      <c r="Z1130" s="6"/>
      <c r="AA1130" s="61"/>
    </row>
    <row r="1131" spans="1:27" ht="13.5">
      <c r="A1131" t="s">
        <v>1424</v>
      </c>
      <c r="B1131">
        <v>30375</v>
      </c>
      <c r="C1131">
        <v>30976</v>
      </c>
      <c r="D1131" s="13">
        <f t="shared" si="23"/>
        <v>33.919738808071784</v>
      </c>
      <c r="E1131" s="61">
        <v>11</v>
      </c>
      <c r="F1131" s="65">
        <v>46.101083653013362</v>
      </c>
      <c r="G1131" s="6">
        <v>1341</v>
      </c>
      <c r="H1131" s="6">
        <v>1273</v>
      </c>
      <c r="I1131" s="65">
        <v>-7.0885618947494944</v>
      </c>
      <c r="J1131" s="6">
        <f>VLOOKUP($D1131,Sheet1!$A$5:$C$192,3,TRUE)</f>
        <v>6</v>
      </c>
      <c r="K1131" s="42" t="str">
        <f>VLOOKUP($D1131,Sheet1!$A$5:$C$192,2,TRUE)</f>
        <v>(|</v>
      </c>
      <c r="L1131" s="6">
        <f>FLOOR(VLOOKUP($D1131,Sheet1!$D$5:$F$192,3,TRUE),1)</f>
        <v>14</v>
      </c>
      <c r="M1131" s="42" t="str">
        <f>VLOOKUP($D1131,Sheet1!$D$5:$F$192,2,TRUE)</f>
        <v>(|</v>
      </c>
      <c r="N1131" s="23">
        <f>FLOOR(VLOOKUP($D1131,Sheet1!$G$5:$I$192,3,TRUE),1)</f>
        <v>17</v>
      </c>
      <c r="O1131" s="42" t="str">
        <f>VLOOKUP($D1131,Sheet1!$G$5:$I$192,2,TRUE)</f>
        <v>(|</v>
      </c>
      <c r="P1131" s="23">
        <v>1</v>
      </c>
      <c r="Q1131" s="43" t="str">
        <f>VLOOKUP($D1131,Sheet1!$J$5:$L$192,2,TRUE)</f>
        <v>(|''</v>
      </c>
      <c r="R1131" s="23">
        <f>FLOOR(VLOOKUP($D1131,Sheet1!$M$5:$O$192,3,TRUE),1)</f>
        <v>70</v>
      </c>
      <c r="S1131" s="42" t="str">
        <f>VLOOKUP($D1131,Sheet1!$M$5:$O$192,2,TRUE)</f>
        <v>(|''</v>
      </c>
      <c r="T1131" s="117">
        <f>IF(ABS(D1131-VLOOKUP($D1131,Sheet1!$M$5:$T$192,8,TRUE))&lt;10^-10,"SoCA",D1131-VLOOKUP($D1131,Sheet1!$M$5:$T$192,8,TRUE))</f>
        <v>-6.0756423497302592E-2</v>
      </c>
      <c r="U1131" s="109">
        <f>IF(VLOOKUP($D1131,Sheet1!$M$5:$U$192,9,TRUE)=0,"",IF(ABS(D1131-VLOOKUP($D1131,Sheet1!$M$5:$U$192,9,TRUE))&lt;10^-10,"Alt.",D1131-VLOOKUP($D1131,Sheet1!$M$5:$U$192,9,TRUE)))</f>
        <v>-4.6704256102849229E-2</v>
      </c>
      <c r="V1131" s="132">
        <f>$D1131-Sheet1!$M$3*$R1131</f>
        <v>-0.23455485733523318</v>
      </c>
      <c r="Z1131" s="6"/>
      <c r="AA1131" s="61"/>
    </row>
    <row r="1132" spans="1:27" ht="13.5">
      <c r="A1132" t="s">
        <v>1529</v>
      </c>
      <c r="B1132">
        <v>3645</v>
      </c>
      <c r="C1132">
        <v>3718</v>
      </c>
      <c r="D1132" s="13">
        <f t="shared" si="23"/>
        <v>34.329546846218399</v>
      </c>
      <c r="E1132" s="61">
        <v>13</v>
      </c>
      <c r="F1132" s="65">
        <v>62.364390626264225</v>
      </c>
      <c r="G1132" s="6">
        <v>1435</v>
      </c>
      <c r="H1132" s="6">
        <v>1378</v>
      </c>
      <c r="I1132" s="65">
        <v>-8.1137952686701489</v>
      </c>
      <c r="J1132" s="6">
        <f>VLOOKUP($D1132,Sheet1!$A$5:$C$192,3,TRUE)</f>
        <v>6</v>
      </c>
      <c r="K1132" s="42" t="str">
        <f>VLOOKUP($D1132,Sheet1!$A$5:$C$192,2,TRUE)</f>
        <v>(|</v>
      </c>
      <c r="L1132" s="6">
        <f>FLOOR(VLOOKUP($D1132,Sheet1!$D$5:$F$192,3,TRUE),1)</f>
        <v>14</v>
      </c>
      <c r="M1132" s="42" t="str">
        <f>VLOOKUP($D1132,Sheet1!$D$5:$F$192,2,TRUE)</f>
        <v>(|</v>
      </c>
      <c r="N1132" s="23">
        <f>FLOOR(VLOOKUP($D1132,Sheet1!$G$5:$I$192,3,TRUE),1)</f>
        <v>17</v>
      </c>
      <c r="O1132" s="42" t="str">
        <f>VLOOKUP($D1132,Sheet1!$G$5:$I$192,2,TRUE)</f>
        <v>(|</v>
      </c>
      <c r="P1132" s="23">
        <v>1</v>
      </c>
      <c r="Q1132" s="43" t="str">
        <f>VLOOKUP($D1132,Sheet1!$J$5:$L$192,2,TRUE)</f>
        <v>(|''</v>
      </c>
      <c r="R1132" s="23">
        <f>FLOOR(VLOOKUP($D1132,Sheet1!$M$5:$O$192,3,TRUE),1)</f>
        <v>70</v>
      </c>
      <c r="S1132" s="42" t="str">
        <f>VLOOKUP($D1132,Sheet1!$M$5:$O$192,2,TRUE)</f>
        <v>(|''</v>
      </c>
      <c r="T1132" s="117">
        <f>IF(ABS(D1132-VLOOKUP($D1132,Sheet1!$M$5:$T$192,8,TRUE))&lt;10^-10,"SoCA",D1132-VLOOKUP($D1132,Sheet1!$M$5:$T$192,8,TRUE))</f>
        <v>0.34905161464931211</v>
      </c>
      <c r="U1132" s="109">
        <f>IF(VLOOKUP($D1132,Sheet1!$M$5:$U$192,9,TRUE)=0,"",IF(ABS(D1132-VLOOKUP($D1132,Sheet1!$M$5:$U$192,9,TRUE))&lt;10^-10,"Alt.",D1132-VLOOKUP($D1132,Sheet1!$M$5:$U$192,9,TRUE)))</f>
        <v>0.36310378204376548</v>
      </c>
      <c r="V1132" s="132">
        <f>$D1132-Sheet1!$M$3*$R1132</f>
        <v>0.17525318081138153</v>
      </c>
      <c r="Z1132" s="6"/>
      <c r="AA1132" s="61"/>
    </row>
    <row r="1133" spans="1:27" ht="13.5">
      <c r="A1133" t="s">
        <v>772</v>
      </c>
      <c r="B1133">
        <v>15309</v>
      </c>
      <c r="C1133">
        <v>15616</v>
      </c>
      <c r="D1133" s="13">
        <f t="shared" si="23"/>
        <v>34.373892548626614</v>
      </c>
      <c r="E1133" s="61" t="s">
        <v>1931</v>
      </c>
      <c r="F1133" s="65">
        <v>76.015772014965719</v>
      </c>
      <c r="G1133" s="6">
        <v>513</v>
      </c>
      <c r="H1133" s="6">
        <v>618</v>
      </c>
      <c r="I1133" s="65">
        <v>-9.1165257951276146</v>
      </c>
      <c r="J1133" s="6">
        <f>VLOOKUP($D1133,Sheet1!$A$5:$C$192,3,TRUE)</f>
        <v>6</v>
      </c>
      <c r="K1133" s="42" t="str">
        <f>VLOOKUP($D1133,Sheet1!$A$5:$C$192,2,TRUE)</f>
        <v>(|</v>
      </c>
      <c r="L1133" s="6">
        <f>FLOOR(VLOOKUP($D1133,Sheet1!$D$5:$F$192,3,TRUE),1)</f>
        <v>14</v>
      </c>
      <c r="M1133" s="42" t="str">
        <f>VLOOKUP($D1133,Sheet1!$D$5:$F$192,2,TRUE)</f>
        <v>(|</v>
      </c>
      <c r="N1133" s="23">
        <f>FLOOR(VLOOKUP($D1133,Sheet1!$G$5:$I$192,3,TRUE),1)</f>
        <v>17</v>
      </c>
      <c r="O1133" s="42" t="str">
        <f>VLOOKUP($D1133,Sheet1!$G$5:$I$192,2,TRUE)</f>
        <v>(|</v>
      </c>
      <c r="P1133" s="23">
        <v>1</v>
      </c>
      <c r="Q1133" s="43" t="str">
        <f>VLOOKUP($D1133,Sheet1!$J$5:$L$192,2,TRUE)</f>
        <v>(|''</v>
      </c>
      <c r="R1133" s="23">
        <f>FLOOR(VLOOKUP($D1133,Sheet1!$M$5:$O$192,3,TRUE),1)</f>
        <v>70</v>
      </c>
      <c r="S1133" s="42" t="str">
        <f>VLOOKUP($D1133,Sheet1!$M$5:$O$192,2,TRUE)</f>
        <v>(|''</v>
      </c>
      <c r="T1133" s="117">
        <f>IF(ABS(D1133-VLOOKUP($D1133,Sheet1!$M$5:$T$192,8,TRUE))&lt;10^-10,"SoCA",D1133-VLOOKUP($D1133,Sheet1!$M$5:$T$192,8,TRUE))</f>
        <v>0.39339731705752712</v>
      </c>
      <c r="U1133" s="109">
        <f>IF(VLOOKUP($D1133,Sheet1!$M$5:$U$192,9,TRUE)=0,"",IF(ABS(D1133-VLOOKUP($D1133,Sheet1!$M$5:$U$192,9,TRUE))&lt;10^-10,"Alt.",D1133-VLOOKUP($D1133,Sheet1!$M$5:$U$192,9,TRUE)))</f>
        <v>0.40744948445198048</v>
      </c>
      <c r="V1133" s="132">
        <f>$D1133-Sheet1!$M$3*$R1133</f>
        <v>0.21959888321959653</v>
      </c>
      <c r="Z1133" s="6"/>
      <c r="AA1133" s="61"/>
    </row>
    <row r="1134" spans="1:27" ht="13.5">
      <c r="A1134" t="s">
        <v>730</v>
      </c>
      <c r="B1134">
        <v>1161</v>
      </c>
      <c r="C1134">
        <v>1184</v>
      </c>
      <c r="D1134" s="13">
        <f t="shared" si="23"/>
        <v>33.961330516059974</v>
      </c>
      <c r="E1134" s="61">
        <v>43</v>
      </c>
      <c r="F1134" s="65">
        <v>80.512273435349243</v>
      </c>
      <c r="G1134" s="6">
        <v>618</v>
      </c>
      <c r="H1134" s="6">
        <v>575</v>
      </c>
      <c r="I1134" s="65">
        <v>-5.0911228477371679</v>
      </c>
      <c r="J1134" s="6">
        <f>VLOOKUP($D1134,Sheet1!$A$5:$C$192,3,TRUE)</f>
        <v>6</v>
      </c>
      <c r="K1134" s="42" t="str">
        <f>VLOOKUP($D1134,Sheet1!$A$5:$C$192,2,TRUE)</f>
        <v>(|</v>
      </c>
      <c r="L1134" s="6">
        <f>FLOOR(VLOOKUP($D1134,Sheet1!$D$5:$F$192,3,TRUE),1)</f>
        <v>14</v>
      </c>
      <c r="M1134" s="42" t="str">
        <f>VLOOKUP($D1134,Sheet1!$D$5:$F$192,2,TRUE)</f>
        <v>(|</v>
      </c>
      <c r="N1134" s="23">
        <f>FLOOR(VLOOKUP($D1134,Sheet1!$G$5:$I$192,3,TRUE),1)</f>
        <v>17</v>
      </c>
      <c r="O1134" s="42" t="str">
        <f>VLOOKUP($D1134,Sheet1!$G$5:$I$192,2,TRUE)</f>
        <v>(|</v>
      </c>
      <c r="P1134" s="23">
        <v>1</v>
      </c>
      <c r="Q1134" s="43" t="str">
        <f>VLOOKUP($D1134,Sheet1!$J$5:$L$192,2,TRUE)</f>
        <v>(|''</v>
      </c>
      <c r="R1134" s="23">
        <f>FLOOR(VLOOKUP($D1134,Sheet1!$M$5:$O$192,3,TRUE),1)</f>
        <v>70</v>
      </c>
      <c r="S1134" s="42" t="str">
        <f>VLOOKUP($D1134,Sheet1!$M$5:$O$192,2,TRUE)</f>
        <v>(|''</v>
      </c>
      <c r="T1134" s="117">
        <f>IF(ABS(D1134-VLOOKUP($D1134,Sheet1!$M$5:$T$192,8,TRUE))&lt;10^-10,"SoCA",D1134-VLOOKUP($D1134,Sheet1!$M$5:$T$192,8,TRUE))</f>
        <v>-1.916471550911325E-2</v>
      </c>
      <c r="U1134" s="109">
        <f>IF(VLOOKUP($D1134,Sheet1!$M$5:$U$192,9,TRUE)=0,"",IF(ABS(D1134-VLOOKUP($D1134,Sheet1!$M$5:$U$192,9,TRUE))&lt;10^-10,"Alt.",D1134-VLOOKUP($D1134,Sheet1!$M$5:$U$192,9,TRUE)))</f>
        <v>-5.1125481146598872E-3</v>
      </c>
      <c r="V1134" s="132">
        <f>$D1134-Sheet1!$M$3*$R1134</f>
        <v>-0.19296314934704384</v>
      </c>
      <c r="Z1134" s="6"/>
      <c r="AA1134" s="61"/>
    </row>
    <row r="1135" spans="1:27" ht="13.5">
      <c r="A1135" t="s">
        <v>627</v>
      </c>
      <c r="B1135">
        <v>2144</v>
      </c>
      <c r="C1135">
        <v>2187</v>
      </c>
      <c r="D1135" s="13">
        <f t="shared" si="23"/>
        <v>34.377977508385044</v>
      </c>
      <c r="E1135" s="61" t="s">
        <v>1931</v>
      </c>
      <c r="F1135" s="65">
        <v>82.242129086115398</v>
      </c>
      <c r="G1135" s="6">
        <v>477</v>
      </c>
      <c r="H1135" s="6">
        <v>472</v>
      </c>
      <c r="I1135" s="65">
        <v>4.8832226790177415</v>
      </c>
      <c r="J1135" s="6">
        <f>VLOOKUP($D1135,Sheet1!$A$5:$C$192,3,TRUE)</f>
        <v>6</v>
      </c>
      <c r="K1135" s="42" t="str">
        <f>VLOOKUP($D1135,Sheet1!$A$5:$C$192,2,TRUE)</f>
        <v>(|</v>
      </c>
      <c r="L1135" s="6">
        <f>FLOOR(VLOOKUP($D1135,Sheet1!$D$5:$F$192,3,TRUE),1)</f>
        <v>14</v>
      </c>
      <c r="M1135" s="42" t="str">
        <f>VLOOKUP($D1135,Sheet1!$D$5:$F$192,2,TRUE)</f>
        <v>(|</v>
      </c>
      <c r="N1135" s="23">
        <f>FLOOR(VLOOKUP($D1135,Sheet1!$G$5:$I$192,3,TRUE),1)</f>
        <v>17</v>
      </c>
      <c r="O1135" s="42" t="str">
        <f>VLOOKUP($D1135,Sheet1!$G$5:$I$192,2,TRUE)</f>
        <v>(|</v>
      </c>
      <c r="P1135" s="23">
        <v>1</v>
      </c>
      <c r="Q1135" s="43" t="str">
        <f>VLOOKUP($D1135,Sheet1!$J$5:$L$192,2,TRUE)</f>
        <v>(|''</v>
      </c>
      <c r="R1135" s="23">
        <f>FLOOR(VLOOKUP($D1135,Sheet1!$M$5:$O$192,3,TRUE),1)</f>
        <v>70</v>
      </c>
      <c r="S1135" s="42" t="str">
        <f>VLOOKUP($D1135,Sheet1!$M$5:$O$192,2,TRUE)</f>
        <v>(|''</v>
      </c>
      <c r="T1135" s="117">
        <f>IF(ABS(D1135-VLOOKUP($D1135,Sheet1!$M$5:$T$192,8,TRUE))&lt;10^-10,"SoCA",D1135-VLOOKUP($D1135,Sheet1!$M$5:$T$192,8,TRUE))</f>
        <v>0.39748227681595694</v>
      </c>
      <c r="U1135" s="109">
        <f>IF(VLOOKUP($D1135,Sheet1!$M$5:$U$192,9,TRUE)=0,"",IF(ABS(D1135-VLOOKUP($D1135,Sheet1!$M$5:$U$192,9,TRUE))&lt;10^-10,"Alt.",D1135-VLOOKUP($D1135,Sheet1!$M$5:$U$192,9,TRUE)))</f>
        <v>0.4115344442104103</v>
      </c>
      <c r="V1135" s="132">
        <f>$D1135-Sheet1!$M$3*$R1135</f>
        <v>0.22368384297802635</v>
      </c>
      <c r="Z1135" s="6"/>
      <c r="AA1135" s="61"/>
    </row>
    <row r="1136" spans="1:27" ht="13.5">
      <c r="A1136" t="s">
        <v>779</v>
      </c>
      <c r="B1136">
        <v>868352</v>
      </c>
      <c r="C1136">
        <v>885735</v>
      </c>
      <c r="D1136" s="13">
        <f t="shared" si="23"/>
        <v>34.3141779082573</v>
      </c>
      <c r="E1136" s="61" t="s">
        <v>1931</v>
      </c>
      <c r="F1136" s="65">
        <v>86.51572811974782</v>
      </c>
      <c r="G1136" s="6">
        <v>541</v>
      </c>
      <c r="H1136" s="6">
        <v>625</v>
      </c>
      <c r="I1136" s="65">
        <v>8.8871510528322055</v>
      </c>
      <c r="J1136" s="6">
        <f>VLOOKUP($D1136,Sheet1!$A$5:$C$192,3,TRUE)</f>
        <v>6</v>
      </c>
      <c r="K1136" s="42" t="str">
        <f>VLOOKUP($D1136,Sheet1!$A$5:$C$192,2,TRUE)</f>
        <v>(|</v>
      </c>
      <c r="L1136" s="6">
        <f>FLOOR(VLOOKUP($D1136,Sheet1!$D$5:$F$192,3,TRUE),1)</f>
        <v>14</v>
      </c>
      <c r="M1136" s="42" t="str">
        <f>VLOOKUP($D1136,Sheet1!$D$5:$F$192,2,TRUE)</f>
        <v>(|</v>
      </c>
      <c r="N1136" s="23">
        <f>FLOOR(VLOOKUP($D1136,Sheet1!$G$5:$I$192,3,TRUE),1)</f>
        <v>17</v>
      </c>
      <c r="O1136" s="42" t="str">
        <f>VLOOKUP($D1136,Sheet1!$G$5:$I$192,2,TRUE)</f>
        <v>(|</v>
      </c>
      <c r="P1136" s="23">
        <v>1</v>
      </c>
      <c r="Q1136" s="43" t="str">
        <f>VLOOKUP($D1136,Sheet1!$J$5:$L$192,2,TRUE)</f>
        <v>(|''</v>
      </c>
      <c r="R1136" s="23">
        <f>FLOOR(VLOOKUP($D1136,Sheet1!$M$5:$O$192,3,TRUE),1)</f>
        <v>70</v>
      </c>
      <c r="S1136" s="42" t="str">
        <f>VLOOKUP($D1136,Sheet1!$M$5:$O$192,2,TRUE)</f>
        <v>(|''</v>
      </c>
      <c r="T1136" s="117">
        <f>IF(ABS(D1136-VLOOKUP($D1136,Sheet1!$M$5:$T$192,8,TRUE))&lt;10^-10,"SoCA",D1136-VLOOKUP($D1136,Sheet1!$M$5:$T$192,8,TRUE))</f>
        <v>0.33368267668821261</v>
      </c>
      <c r="U1136" s="109">
        <f>IF(VLOOKUP($D1136,Sheet1!$M$5:$U$192,9,TRUE)=0,"",IF(ABS(D1136-VLOOKUP($D1136,Sheet1!$M$5:$U$192,9,TRUE))&lt;10^-10,"Alt.",D1136-VLOOKUP($D1136,Sheet1!$M$5:$U$192,9,TRUE)))</f>
        <v>0.34773484408266597</v>
      </c>
      <c r="V1136" s="132">
        <f>$D1136-Sheet1!$M$3*$R1136</f>
        <v>0.15988424285028202</v>
      </c>
      <c r="Z1136" s="6"/>
      <c r="AA1136" s="61"/>
    </row>
    <row r="1137" spans="1:27" ht="13.5">
      <c r="A1137" t="s">
        <v>1571</v>
      </c>
      <c r="B1137">
        <v>83886080</v>
      </c>
      <c r="C1137">
        <v>85562001</v>
      </c>
      <c r="D1137" s="13">
        <f t="shared" si="23"/>
        <v>34.246550257354492</v>
      </c>
      <c r="E1137" s="61">
        <v>23</v>
      </c>
      <c r="F1137" s="65">
        <v>92.324949339293553</v>
      </c>
      <c r="G1137" s="6">
        <v>1228</v>
      </c>
      <c r="H1137" s="6">
        <v>1420</v>
      </c>
      <c r="I1137" s="65">
        <v>9.8913151336792371</v>
      </c>
      <c r="J1137" s="6">
        <f>VLOOKUP($D1137,Sheet1!$A$5:$C$192,3,TRUE)</f>
        <v>6</v>
      </c>
      <c r="K1137" s="42" t="str">
        <f>VLOOKUP($D1137,Sheet1!$A$5:$C$192,2,TRUE)</f>
        <v>(|</v>
      </c>
      <c r="L1137" s="6">
        <f>FLOOR(VLOOKUP($D1137,Sheet1!$D$5:$F$192,3,TRUE),1)</f>
        <v>14</v>
      </c>
      <c r="M1137" s="42" t="str">
        <f>VLOOKUP($D1137,Sheet1!$D$5:$F$192,2,TRUE)</f>
        <v>(|</v>
      </c>
      <c r="N1137" s="23">
        <f>FLOOR(VLOOKUP($D1137,Sheet1!$G$5:$I$192,3,TRUE),1)</f>
        <v>17</v>
      </c>
      <c r="O1137" s="42" t="str">
        <f>VLOOKUP($D1137,Sheet1!$G$5:$I$192,2,TRUE)</f>
        <v>(|</v>
      </c>
      <c r="P1137" s="23">
        <v>1</v>
      </c>
      <c r="Q1137" s="43" t="str">
        <f>VLOOKUP($D1137,Sheet1!$J$5:$L$192,2,TRUE)</f>
        <v>(|''</v>
      </c>
      <c r="R1137" s="23">
        <f>FLOOR(VLOOKUP($D1137,Sheet1!$M$5:$O$192,3,TRUE),1)</f>
        <v>70</v>
      </c>
      <c r="S1137" s="42" t="str">
        <f>VLOOKUP($D1137,Sheet1!$M$5:$O$192,2,TRUE)</f>
        <v>(|''</v>
      </c>
      <c r="T1137" s="117">
        <f>IF(ABS(D1137-VLOOKUP($D1137,Sheet1!$M$5:$T$192,8,TRUE))&lt;10^-10,"SoCA",D1137-VLOOKUP($D1137,Sheet1!$M$5:$T$192,8,TRUE))</f>
        <v>0.26605502578540552</v>
      </c>
      <c r="U1137" s="109">
        <f>IF(VLOOKUP($D1137,Sheet1!$M$5:$U$192,9,TRUE)=0,"",IF(ABS(D1137-VLOOKUP($D1137,Sheet1!$M$5:$U$192,9,TRUE))&lt;10^-10,"Alt.",D1137-VLOOKUP($D1137,Sheet1!$M$5:$U$192,9,TRUE)))</f>
        <v>0.28010719317985888</v>
      </c>
      <c r="V1137" s="132">
        <f>$D1137-Sheet1!$M$3*$R1137</f>
        <v>9.2256591947474931E-2</v>
      </c>
      <c r="Z1137" s="6"/>
      <c r="AA1137" s="61"/>
    </row>
    <row r="1138" spans="1:27" ht="13.5">
      <c r="A1138" t="s">
        <v>1328</v>
      </c>
      <c r="B1138">
        <v>4455</v>
      </c>
      <c r="C1138">
        <v>4544</v>
      </c>
      <c r="D1138" s="13">
        <f t="shared" si="23"/>
        <v>34.244883714477162</v>
      </c>
      <c r="E1138" s="61" t="s">
        <v>1931</v>
      </c>
      <c r="F1138" s="65">
        <v>105.45388326842277</v>
      </c>
      <c r="G1138" s="6">
        <v>1239</v>
      </c>
      <c r="H1138" s="6">
        <v>1177</v>
      </c>
      <c r="I1138" s="65">
        <v>-6.1085822512042594</v>
      </c>
      <c r="J1138" s="6">
        <f>VLOOKUP($D1138,Sheet1!$A$5:$C$192,3,TRUE)</f>
        <v>6</v>
      </c>
      <c r="K1138" s="42" t="str">
        <f>VLOOKUP($D1138,Sheet1!$A$5:$C$192,2,TRUE)</f>
        <v>(|</v>
      </c>
      <c r="L1138" s="6">
        <f>FLOOR(VLOOKUP($D1138,Sheet1!$D$5:$F$192,3,TRUE),1)</f>
        <v>14</v>
      </c>
      <c r="M1138" s="42" t="str">
        <f>VLOOKUP($D1138,Sheet1!$D$5:$F$192,2,TRUE)</f>
        <v>(|</v>
      </c>
      <c r="N1138" s="23">
        <f>FLOOR(VLOOKUP($D1138,Sheet1!$G$5:$I$192,3,TRUE),1)</f>
        <v>17</v>
      </c>
      <c r="O1138" s="42" t="str">
        <f>VLOOKUP($D1138,Sheet1!$G$5:$I$192,2,TRUE)</f>
        <v>(|</v>
      </c>
      <c r="P1138" s="23">
        <v>1</v>
      </c>
      <c r="Q1138" s="43" t="str">
        <f>VLOOKUP($D1138,Sheet1!$J$5:$L$192,2,TRUE)</f>
        <v>(|''</v>
      </c>
      <c r="R1138" s="23">
        <f>FLOOR(VLOOKUP($D1138,Sheet1!$M$5:$O$192,3,TRUE),1)</f>
        <v>70</v>
      </c>
      <c r="S1138" s="42" t="str">
        <f>VLOOKUP($D1138,Sheet1!$M$5:$O$192,2,TRUE)</f>
        <v>(|''</v>
      </c>
      <c r="T1138" s="117">
        <f>IF(ABS(D1138-VLOOKUP($D1138,Sheet1!$M$5:$T$192,8,TRUE))&lt;10^-10,"SoCA",D1138-VLOOKUP($D1138,Sheet1!$M$5:$T$192,8,TRUE))</f>
        <v>0.26438848290807471</v>
      </c>
      <c r="U1138" s="109">
        <f>IF(VLOOKUP($D1138,Sheet1!$M$5:$U$192,9,TRUE)=0,"",IF(ABS(D1138-VLOOKUP($D1138,Sheet1!$M$5:$U$192,9,TRUE))&lt;10^-10,"Alt.",D1138-VLOOKUP($D1138,Sheet1!$M$5:$U$192,9,TRUE)))</f>
        <v>0.27844065030252807</v>
      </c>
      <c r="V1138" s="132">
        <f>$D1138-Sheet1!$M$3*$R1138</f>
        <v>9.0590049070144119E-2</v>
      </c>
      <c r="Z1138" s="6"/>
      <c r="AA1138" s="61"/>
    </row>
    <row r="1139" spans="1:27" ht="13.5">
      <c r="A1139" t="s">
        <v>1599</v>
      </c>
      <c r="B1139">
        <v>465831</v>
      </c>
      <c r="C1139">
        <v>475136</v>
      </c>
      <c r="D1139" s="13">
        <f t="shared" si="23"/>
        <v>34.240643824368668</v>
      </c>
      <c r="E1139" s="61" t="s">
        <v>1931</v>
      </c>
      <c r="F1139" s="65">
        <v>117.37174547665612</v>
      </c>
      <c r="G1139" s="6">
        <v>1123</v>
      </c>
      <c r="H1139" s="6">
        <v>1448</v>
      </c>
      <c r="I1139" s="65">
        <v>-10.108321185723518</v>
      </c>
      <c r="J1139" s="6">
        <f>VLOOKUP($D1139,Sheet1!$A$5:$C$192,3,TRUE)</f>
        <v>6</v>
      </c>
      <c r="K1139" s="42" t="str">
        <f>VLOOKUP($D1139,Sheet1!$A$5:$C$192,2,TRUE)</f>
        <v>(|</v>
      </c>
      <c r="L1139" s="6">
        <f>FLOOR(VLOOKUP($D1139,Sheet1!$D$5:$F$192,3,TRUE),1)</f>
        <v>14</v>
      </c>
      <c r="M1139" s="42" t="str">
        <f>VLOOKUP($D1139,Sheet1!$D$5:$F$192,2,TRUE)</f>
        <v>(|</v>
      </c>
      <c r="N1139" s="23">
        <f>FLOOR(VLOOKUP($D1139,Sheet1!$G$5:$I$192,3,TRUE),1)</f>
        <v>17</v>
      </c>
      <c r="O1139" s="42" t="str">
        <f>VLOOKUP($D1139,Sheet1!$G$5:$I$192,2,TRUE)</f>
        <v>(|</v>
      </c>
      <c r="P1139" s="23">
        <v>1</v>
      </c>
      <c r="Q1139" s="43" t="str">
        <f>VLOOKUP($D1139,Sheet1!$J$5:$L$192,2,TRUE)</f>
        <v>(|''</v>
      </c>
      <c r="R1139" s="23">
        <f>FLOOR(VLOOKUP($D1139,Sheet1!$M$5:$O$192,3,TRUE),1)</f>
        <v>70</v>
      </c>
      <c r="S1139" s="42" t="str">
        <f>VLOOKUP($D1139,Sheet1!$M$5:$O$192,2,TRUE)</f>
        <v>(|''</v>
      </c>
      <c r="T1139" s="117">
        <f>IF(ABS(D1139-VLOOKUP($D1139,Sheet1!$M$5:$T$192,8,TRUE))&lt;10^-10,"SoCA",D1139-VLOOKUP($D1139,Sheet1!$M$5:$T$192,8,TRUE))</f>
        <v>0.26014859279958102</v>
      </c>
      <c r="U1139" s="109">
        <f>IF(VLOOKUP($D1139,Sheet1!$M$5:$U$192,9,TRUE)=0,"",IF(ABS(D1139-VLOOKUP($D1139,Sheet1!$M$5:$U$192,9,TRUE))&lt;10^-10,"Alt.",D1139-VLOOKUP($D1139,Sheet1!$M$5:$U$192,9,TRUE)))</f>
        <v>0.27420076019403439</v>
      </c>
      <c r="V1139" s="132">
        <f>$D1139-Sheet1!$M$3*$R1139</f>
        <v>8.6350158961650436E-2</v>
      </c>
      <c r="Z1139" s="6"/>
      <c r="AA1139" s="61"/>
    </row>
    <row r="1140" spans="1:27" ht="13.5">
      <c r="A1140" t="s">
        <v>664</v>
      </c>
      <c r="B1140">
        <v>201</v>
      </c>
      <c r="C1140">
        <v>205</v>
      </c>
      <c r="D1140" s="13">
        <f t="shared" si="23"/>
        <v>34.114089991820755</v>
      </c>
      <c r="E1140" s="61" t="s">
        <v>1931</v>
      </c>
      <c r="F1140" s="65">
        <v>135.73862805786717</v>
      </c>
      <c r="G1140" s="6">
        <v>555</v>
      </c>
      <c r="H1140" s="6">
        <v>509</v>
      </c>
      <c r="I1140" s="65">
        <v>-3.1005288051928299</v>
      </c>
      <c r="J1140" s="6">
        <f>VLOOKUP($D1140,Sheet1!$A$5:$C$192,3,TRUE)</f>
        <v>6</v>
      </c>
      <c r="K1140" s="42" t="str">
        <f>VLOOKUP($D1140,Sheet1!$A$5:$C$192,2,TRUE)</f>
        <v>(|</v>
      </c>
      <c r="L1140" s="6">
        <f>FLOOR(VLOOKUP($D1140,Sheet1!$D$5:$F$192,3,TRUE),1)</f>
        <v>14</v>
      </c>
      <c r="M1140" s="42" t="str">
        <f>VLOOKUP($D1140,Sheet1!$D$5:$F$192,2,TRUE)</f>
        <v>(|</v>
      </c>
      <c r="N1140" s="23">
        <f>FLOOR(VLOOKUP($D1140,Sheet1!$G$5:$I$192,3,TRUE),1)</f>
        <v>17</v>
      </c>
      <c r="O1140" s="42" t="str">
        <f>VLOOKUP($D1140,Sheet1!$G$5:$I$192,2,TRUE)</f>
        <v>(|</v>
      </c>
      <c r="P1140" s="23">
        <v>1</v>
      </c>
      <c r="Q1140" s="43" t="str">
        <f>VLOOKUP($D1140,Sheet1!$J$5:$L$192,2,TRUE)</f>
        <v>(|''</v>
      </c>
      <c r="R1140" s="23">
        <f>FLOOR(VLOOKUP($D1140,Sheet1!$M$5:$O$192,3,TRUE),1)</f>
        <v>70</v>
      </c>
      <c r="S1140" s="42" t="str">
        <f>VLOOKUP($D1140,Sheet1!$M$5:$O$192,2,TRUE)</f>
        <v>(|''</v>
      </c>
      <c r="T1140" s="117">
        <f>IF(ABS(D1140-VLOOKUP($D1140,Sheet1!$M$5:$T$192,8,TRUE))&lt;10^-10,"SoCA",D1140-VLOOKUP($D1140,Sheet1!$M$5:$T$192,8,TRUE))</f>
        <v>0.13359476025166828</v>
      </c>
      <c r="U1140" s="109">
        <f>IF(VLOOKUP($D1140,Sheet1!$M$5:$U$192,9,TRUE)=0,"",IF(ABS(D1140-VLOOKUP($D1140,Sheet1!$M$5:$U$192,9,TRUE))&lt;10^-10,"Alt.",D1140-VLOOKUP($D1140,Sheet1!$M$5:$U$192,9,TRUE)))</f>
        <v>0.14764692764612164</v>
      </c>
      <c r="V1140" s="132">
        <f>$D1140-Sheet1!$M$3*$R1140</f>
        <v>-4.0203673586262312E-2</v>
      </c>
      <c r="Z1140" s="6"/>
      <c r="AA1140" s="61"/>
    </row>
    <row r="1141" spans="1:27" ht="13.5">
      <c r="A1141" t="s">
        <v>925</v>
      </c>
      <c r="B1141">
        <v>556</v>
      </c>
      <c r="C1141">
        <v>567</v>
      </c>
      <c r="D1141" s="13">
        <f t="shared" si="23"/>
        <v>33.916622662465855</v>
      </c>
      <c r="E1141" s="61" t="s">
        <v>1931</v>
      </c>
      <c r="F1141" s="65">
        <v>146.272779159697</v>
      </c>
      <c r="G1141" s="6">
        <v>836</v>
      </c>
      <c r="H1141" s="6">
        <v>773</v>
      </c>
      <c r="I1141" s="65">
        <v>1.9116299776881998</v>
      </c>
      <c r="J1141" s="6">
        <f>VLOOKUP($D1141,Sheet1!$A$5:$C$192,3,TRUE)</f>
        <v>6</v>
      </c>
      <c r="K1141" s="42" t="str">
        <f>VLOOKUP($D1141,Sheet1!$A$5:$C$192,2,TRUE)</f>
        <v>(|</v>
      </c>
      <c r="L1141" s="6">
        <f>FLOOR(VLOOKUP($D1141,Sheet1!$D$5:$F$192,3,TRUE),1)</f>
        <v>14</v>
      </c>
      <c r="M1141" s="42" t="str">
        <f>VLOOKUP($D1141,Sheet1!$D$5:$F$192,2,TRUE)</f>
        <v>(|</v>
      </c>
      <c r="N1141" s="23">
        <f>FLOOR(VLOOKUP($D1141,Sheet1!$G$5:$I$192,3,TRUE),1)</f>
        <v>17</v>
      </c>
      <c r="O1141" s="42" t="str">
        <f>VLOOKUP($D1141,Sheet1!$G$5:$I$192,2,TRUE)</f>
        <v>(|</v>
      </c>
      <c r="P1141" s="23">
        <v>1</v>
      </c>
      <c r="Q1141" s="43" t="str">
        <f>VLOOKUP($D1141,Sheet1!$J$5:$L$192,2,TRUE)</f>
        <v>(|''</v>
      </c>
      <c r="R1141" s="23">
        <f>FLOOR(VLOOKUP($D1141,Sheet1!$M$5:$O$192,3,TRUE),1)</f>
        <v>70</v>
      </c>
      <c r="S1141" s="42" t="str">
        <f>VLOOKUP($D1141,Sheet1!$M$5:$O$192,2,TRUE)</f>
        <v>(|''</v>
      </c>
      <c r="T1141" s="117">
        <f>IF(ABS(D1141-VLOOKUP($D1141,Sheet1!$M$5:$T$192,8,TRUE))&lt;10^-10,"SoCA",D1141-VLOOKUP($D1141,Sheet1!$M$5:$T$192,8,TRUE))</f>
        <v>-6.3872569103232024E-2</v>
      </c>
      <c r="U1141" s="109">
        <f>IF(VLOOKUP($D1141,Sheet1!$M$5:$U$192,9,TRUE)=0,"",IF(ABS(D1141-VLOOKUP($D1141,Sheet1!$M$5:$U$192,9,TRUE))&lt;10^-10,"Alt.",D1141-VLOOKUP($D1141,Sheet1!$M$5:$U$192,9,TRUE)))</f>
        <v>-4.9820401708778661E-2</v>
      </c>
      <c r="V1141" s="132">
        <f>$D1141-Sheet1!$M$3*$R1141</f>
        <v>-0.23767100294116261</v>
      </c>
      <c r="Z1141" s="6"/>
      <c r="AA1141" s="61"/>
    </row>
    <row r="1142" spans="1:27" ht="13.5">
      <c r="A1142" t="s">
        <v>659</v>
      </c>
      <c r="B1142">
        <v>24064</v>
      </c>
      <c r="C1142">
        <v>24543</v>
      </c>
      <c r="D1142" s="13">
        <f t="shared" si="23"/>
        <v>34.122161615925869</v>
      </c>
      <c r="E1142" s="61" t="s">
        <v>1931</v>
      </c>
      <c r="F1142" s="65">
        <v>148.54611417321476</v>
      </c>
      <c r="G1142" s="6">
        <v>549</v>
      </c>
      <c r="H1142" s="6">
        <v>504</v>
      </c>
      <c r="I1142" s="65">
        <v>2.8989741955044908</v>
      </c>
      <c r="J1142" s="6">
        <f>VLOOKUP($D1142,Sheet1!$A$5:$C$192,3,TRUE)</f>
        <v>6</v>
      </c>
      <c r="K1142" s="42" t="str">
        <f>VLOOKUP($D1142,Sheet1!$A$5:$C$192,2,TRUE)</f>
        <v>(|</v>
      </c>
      <c r="L1142" s="6">
        <f>FLOOR(VLOOKUP($D1142,Sheet1!$D$5:$F$192,3,TRUE),1)</f>
        <v>14</v>
      </c>
      <c r="M1142" s="42" t="str">
        <f>VLOOKUP($D1142,Sheet1!$D$5:$F$192,2,TRUE)</f>
        <v>(|</v>
      </c>
      <c r="N1142" s="23">
        <f>FLOOR(VLOOKUP($D1142,Sheet1!$G$5:$I$192,3,TRUE),1)</f>
        <v>17</v>
      </c>
      <c r="O1142" s="42" t="str">
        <f>VLOOKUP($D1142,Sheet1!$G$5:$I$192,2,TRUE)</f>
        <v>(|</v>
      </c>
      <c r="P1142" s="23">
        <v>1</v>
      </c>
      <c r="Q1142" s="43" t="str">
        <f>VLOOKUP($D1142,Sheet1!$J$5:$L$192,2,TRUE)</f>
        <v>(|''</v>
      </c>
      <c r="R1142" s="23">
        <f>FLOOR(VLOOKUP($D1142,Sheet1!$M$5:$O$192,3,TRUE),1)</f>
        <v>70</v>
      </c>
      <c r="S1142" s="42" t="str">
        <f>VLOOKUP($D1142,Sheet1!$M$5:$O$192,2,TRUE)</f>
        <v>(|''</v>
      </c>
      <c r="T1142" s="117">
        <f>IF(ABS(D1142-VLOOKUP($D1142,Sheet1!$M$5:$T$192,8,TRUE))&lt;10^-10,"SoCA",D1142-VLOOKUP($D1142,Sheet1!$M$5:$T$192,8,TRUE))</f>
        <v>0.1416663843567818</v>
      </c>
      <c r="U1142" s="109">
        <f>IF(VLOOKUP($D1142,Sheet1!$M$5:$U$192,9,TRUE)=0,"",IF(ABS(D1142-VLOOKUP($D1142,Sheet1!$M$5:$U$192,9,TRUE))&lt;10^-10,"Alt.",D1142-VLOOKUP($D1142,Sheet1!$M$5:$U$192,9,TRUE)))</f>
        <v>0.15571855175123517</v>
      </c>
      <c r="V1142" s="132">
        <f>$D1142-Sheet1!$M$3*$R1142</f>
        <v>-3.2132049481148783E-2</v>
      </c>
      <c r="Z1142" s="6"/>
      <c r="AA1142" s="61"/>
    </row>
    <row r="1143" spans="1:27" ht="13.5">
      <c r="A1143" t="s">
        <v>1639</v>
      </c>
      <c r="B1143">
        <v>220887</v>
      </c>
      <c r="C1143">
        <v>225280</v>
      </c>
      <c r="D1143" s="13">
        <f t="shared" si="23"/>
        <v>34.092870869726035</v>
      </c>
      <c r="E1143" s="61" t="s">
        <v>1931</v>
      </c>
      <c r="F1143" s="65">
        <v>149.32956800623739</v>
      </c>
      <c r="G1143" s="6">
        <v>1547</v>
      </c>
      <c r="H1143" s="6">
        <v>1488</v>
      </c>
      <c r="I1143" s="65">
        <v>-9.0992222665399876</v>
      </c>
      <c r="J1143" s="6">
        <f>VLOOKUP($D1143,Sheet1!$A$5:$C$192,3,TRUE)</f>
        <v>6</v>
      </c>
      <c r="K1143" s="42" t="str">
        <f>VLOOKUP($D1143,Sheet1!$A$5:$C$192,2,TRUE)</f>
        <v>(|</v>
      </c>
      <c r="L1143" s="6">
        <f>FLOOR(VLOOKUP($D1143,Sheet1!$D$5:$F$192,3,TRUE),1)</f>
        <v>14</v>
      </c>
      <c r="M1143" s="42" t="str">
        <f>VLOOKUP($D1143,Sheet1!$D$5:$F$192,2,TRUE)</f>
        <v>(|</v>
      </c>
      <c r="N1143" s="23">
        <f>FLOOR(VLOOKUP($D1143,Sheet1!$G$5:$I$192,3,TRUE),1)</f>
        <v>17</v>
      </c>
      <c r="O1143" s="42" t="str">
        <f>VLOOKUP($D1143,Sheet1!$G$5:$I$192,2,TRUE)</f>
        <v>(|</v>
      </c>
      <c r="P1143" s="23">
        <v>1</v>
      </c>
      <c r="Q1143" s="43" t="str">
        <f>VLOOKUP($D1143,Sheet1!$J$5:$L$192,2,TRUE)</f>
        <v>(|''</v>
      </c>
      <c r="R1143" s="23">
        <f>FLOOR(VLOOKUP($D1143,Sheet1!$M$5:$O$192,3,TRUE),1)</f>
        <v>70</v>
      </c>
      <c r="S1143" s="42" t="str">
        <f>VLOOKUP($D1143,Sheet1!$M$5:$O$192,2,TRUE)</f>
        <v>(|''</v>
      </c>
      <c r="T1143" s="117">
        <f>IF(ABS(D1143-VLOOKUP($D1143,Sheet1!$M$5:$T$192,8,TRUE))&lt;10^-10,"SoCA",D1143-VLOOKUP($D1143,Sheet1!$M$5:$T$192,8,TRUE))</f>
        <v>0.11237563815694784</v>
      </c>
      <c r="U1143" s="109">
        <f>IF(VLOOKUP($D1143,Sheet1!$M$5:$U$192,9,TRUE)=0,"",IF(ABS(D1143-VLOOKUP($D1143,Sheet1!$M$5:$U$192,9,TRUE))&lt;10^-10,"Alt.",D1143-VLOOKUP($D1143,Sheet1!$M$5:$U$192,9,TRUE)))</f>
        <v>0.12642780555140121</v>
      </c>
      <c r="V1143" s="132">
        <f>$D1143-Sheet1!$M$3*$R1143</f>
        <v>-6.1422795680982745E-2</v>
      </c>
      <c r="Z1143" s="6"/>
      <c r="AA1143" s="61"/>
    </row>
    <row r="1144" spans="1:27" ht="13.5">
      <c r="A1144" t="s">
        <v>1619</v>
      </c>
      <c r="B1144">
        <v>14417920</v>
      </c>
      <c r="C1144">
        <v>14703201</v>
      </c>
      <c r="D1144" s="13">
        <f t="shared" si="23"/>
        <v>33.920670905979613</v>
      </c>
      <c r="E1144" s="61" t="s">
        <v>1931</v>
      </c>
      <c r="F1144" s="65">
        <v>151.04498067214143</v>
      </c>
      <c r="G1144" s="6">
        <v>1524</v>
      </c>
      <c r="H1144" s="6">
        <v>1468</v>
      </c>
      <c r="I1144" s="65">
        <v>8.911380712586503</v>
      </c>
      <c r="J1144" s="6">
        <f>VLOOKUP($D1144,Sheet1!$A$5:$C$192,3,TRUE)</f>
        <v>6</v>
      </c>
      <c r="K1144" s="42" t="str">
        <f>VLOOKUP($D1144,Sheet1!$A$5:$C$192,2,TRUE)</f>
        <v>(|</v>
      </c>
      <c r="L1144" s="6">
        <f>FLOOR(VLOOKUP($D1144,Sheet1!$D$5:$F$192,3,TRUE),1)</f>
        <v>14</v>
      </c>
      <c r="M1144" s="42" t="str">
        <f>VLOOKUP($D1144,Sheet1!$D$5:$F$192,2,TRUE)</f>
        <v>(|</v>
      </c>
      <c r="N1144" s="23">
        <f>FLOOR(VLOOKUP($D1144,Sheet1!$G$5:$I$192,3,TRUE),1)</f>
        <v>17</v>
      </c>
      <c r="O1144" s="42" t="str">
        <f>VLOOKUP($D1144,Sheet1!$G$5:$I$192,2,TRUE)</f>
        <v>(|</v>
      </c>
      <c r="P1144" s="23">
        <v>1</v>
      </c>
      <c r="Q1144" s="43" t="str">
        <f>VLOOKUP($D1144,Sheet1!$J$5:$L$192,2,TRUE)</f>
        <v>(|''</v>
      </c>
      <c r="R1144" s="23">
        <f>FLOOR(VLOOKUP($D1144,Sheet1!$M$5:$O$192,3,TRUE),1)</f>
        <v>70</v>
      </c>
      <c r="S1144" s="42" t="str">
        <f>VLOOKUP($D1144,Sheet1!$M$5:$O$192,2,TRUE)</f>
        <v>(|''</v>
      </c>
      <c r="T1144" s="117">
        <f>IF(ABS(D1144-VLOOKUP($D1144,Sheet1!$M$5:$T$192,8,TRUE))&lt;10^-10,"SoCA",D1144-VLOOKUP($D1144,Sheet1!$M$5:$T$192,8,TRUE))</f>
        <v>-5.982432558947437E-2</v>
      </c>
      <c r="U1144" s="109">
        <f>IF(VLOOKUP($D1144,Sheet1!$M$5:$U$192,9,TRUE)=0,"",IF(ABS(D1144-VLOOKUP($D1144,Sheet1!$M$5:$U$192,9,TRUE))&lt;10^-10,"Alt.",D1144-VLOOKUP($D1144,Sheet1!$M$5:$U$192,9,TRUE)))</f>
        <v>-4.5772158195021007E-2</v>
      </c>
      <c r="V1144" s="132">
        <f>$D1144-Sheet1!$M$3*$R1144</f>
        <v>-0.23362275942740496</v>
      </c>
      <c r="Z1144" s="6"/>
      <c r="AA1144" s="61"/>
    </row>
    <row r="1145" spans="1:27" ht="13.5">
      <c r="A1145" t="s">
        <v>1120</v>
      </c>
      <c r="B1145">
        <v>1272832</v>
      </c>
      <c r="C1145">
        <v>1298349</v>
      </c>
      <c r="D1145" s="13">
        <f t="shared" si="23"/>
        <v>34.363469251285196</v>
      </c>
      <c r="E1145" s="61" t="s">
        <v>1931</v>
      </c>
      <c r="F1145" s="65">
        <v>275.22277338155675</v>
      </c>
      <c r="G1145" s="6">
        <v>1030</v>
      </c>
      <c r="H1145" s="6">
        <v>969</v>
      </c>
      <c r="I1145" s="65">
        <v>3.8841160052638375</v>
      </c>
      <c r="J1145" s="6">
        <f>VLOOKUP($D1145,Sheet1!$A$5:$C$192,3,TRUE)</f>
        <v>6</v>
      </c>
      <c r="K1145" s="42" t="str">
        <f>VLOOKUP($D1145,Sheet1!$A$5:$C$192,2,TRUE)</f>
        <v>(|</v>
      </c>
      <c r="L1145" s="6">
        <f>FLOOR(VLOOKUP($D1145,Sheet1!$D$5:$F$192,3,TRUE),1)</f>
        <v>14</v>
      </c>
      <c r="M1145" s="42" t="str">
        <f>VLOOKUP($D1145,Sheet1!$D$5:$F$192,2,TRUE)</f>
        <v>(|</v>
      </c>
      <c r="N1145" s="23">
        <f>FLOOR(VLOOKUP($D1145,Sheet1!$G$5:$I$192,3,TRUE),1)</f>
        <v>17</v>
      </c>
      <c r="O1145" s="42" t="str">
        <f>VLOOKUP($D1145,Sheet1!$G$5:$I$192,2,TRUE)</f>
        <v>(|</v>
      </c>
      <c r="P1145" s="23">
        <v>1</v>
      </c>
      <c r="Q1145" s="43" t="str">
        <f>VLOOKUP($D1145,Sheet1!$J$5:$L$192,2,TRUE)</f>
        <v>(|''</v>
      </c>
      <c r="R1145" s="23">
        <f>FLOOR(VLOOKUP($D1145,Sheet1!$M$5:$O$192,3,TRUE),1)</f>
        <v>70</v>
      </c>
      <c r="S1145" s="42" t="str">
        <f>VLOOKUP($D1145,Sheet1!$M$5:$O$192,2,TRUE)</f>
        <v>(|''</v>
      </c>
      <c r="T1145" s="117">
        <f>IF(ABS(D1145-VLOOKUP($D1145,Sheet1!$M$5:$T$192,8,TRUE))&lt;10^-10,"SoCA",D1145-VLOOKUP($D1145,Sheet1!$M$5:$T$192,8,TRUE))</f>
        <v>0.38297401971610867</v>
      </c>
      <c r="U1145" s="109">
        <f>IF(VLOOKUP($D1145,Sheet1!$M$5:$U$192,9,TRUE)=0,"",IF(ABS(D1145-VLOOKUP($D1145,Sheet1!$M$5:$U$192,9,TRUE))&lt;10^-10,"Alt.",D1145-VLOOKUP($D1145,Sheet1!$M$5:$U$192,9,TRUE)))</f>
        <v>0.39702618711056203</v>
      </c>
      <c r="V1145" s="132">
        <f>$D1145-Sheet1!$M$3*$R1145</f>
        <v>0.20917558587817808</v>
      </c>
      <c r="Z1145" s="6"/>
      <c r="AA1145" s="61"/>
    </row>
    <row r="1146" spans="1:27" ht="13.5">
      <c r="A1146" t="s">
        <v>1513</v>
      </c>
      <c r="B1146">
        <v>636928</v>
      </c>
      <c r="C1146">
        <v>649539</v>
      </c>
      <c r="D1146" s="13">
        <f t="shared" si="23"/>
        <v>33.943026861907732</v>
      </c>
      <c r="E1146" s="61" t="s">
        <v>1931</v>
      </c>
      <c r="F1146" s="65">
        <v>342.19081882696821</v>
      </c>
      <c r="G1146" s="6">
        <v>1420</v>
      </c>
      <c r="H1146" s="6">
        <v>1362</v>
      </c>
      <c r="I1146" s="65">
        <v>7.910004174932828</v>
      </c>
      <c r="J1146" s="6">
        <f>VLOOKUP($D1146,Sheet1!$A$5:$C$192,3,TRUE)</f>
        <v>6</v>
      </c>
      <c r="K1146" s="42" t="str">
        <f>VLOOKUP($D1146,Sheet1!$A$5:$C$192,2,TRUE)</f>
        <v>(|</v>
      </c>
      <c r="L1146" s="6">
        <f>FLOOR(VLOOKUP($D1146,Sheet1!$D$5:$F$192,3,TRUE),1)</f>
        <v>14</v>
      </c>
      <c r="M1146" s="42" t="str">
        <f>VLOOKUP($D1146,Sheet1!$D$5:$F$192,2,TRUE)</f>
        <v>(|</v>
      </c>
      <c r="N1146" s="23">
        <f>FLOOR(VLOOKUP($D1146,Sheet1!$G$5:$I$192,3,TRUE),1)</f>
        <v>17</v>
      </c>
      <c r="O1146" s="42" t="str">
        <f>VLOOKUP($D1146,Sheet1!$G$5:$I$192,2,TRUE)</f>
        <v>(|</v>
      </c>
      <c r="P1146" s="23">
        <v>1</v>
      </c>
      <c r="Q1146" s="43" t="str">
        <f>VLOOKUP($D1146,Sheet1!$J$5:$L$192,2,TRUE)</f>
        <v>(|''</v>
      </c>
      <c r="R1146" s="23">
        <f>FLOOR(VLOOKUP($D1146,Sheet1!$M$5:$O$192,3,TRUE),1)</f>
        <v>70</v>
      </c>
      <c r="S1146" s="42" t="str">
        <f>VLOOKUP($D1146,Sheet1!$M$5:$O$192,2,TRUE)</f>
        <v>(|''</v>
      </c>
      <c r="T1146" s="117">
        <f>IF(ABS(D1146-VLOOKUP($D1146,Sheet1!$M$5:$T$192,8,TRUE))&lt;10^-10,"SoCA",D1146-VLOOKUP($D1146,Sheet1!$M$5:$T$192,8,TRUE))</f>
        <v>-3.7468369661354473E-2</v>
      </c>
      <c r="U1146" s="109">
        <f>IF(VLOOKUP($D1146,Sheet1!$M$5:$U$192,9,TRUE)=0,"",IF(ABS(D1146-VLOOKUP($D1146,Sheet1!$M$5:$U$192,9,TRUE))&lt;10^-10,"Alt.",D1146-VLOOKUP($D1146,Sheet1!$M$5:$U$192,9,TRUE)))</f>
        <v>-2.3416202266901109E-2</v>
      </c>
      <c r="V1146" s="132">
        <f>$D1146-Sheet1!$M$3*$R1146</f>
        <v>-0.21126680349928506</v>
      </c>
      <c r="Z1146" s="6"/>
      <c r="AA1146" s="61"/>
    </row>
    <row r="1147" spans="1:27" ht="13.5">
      <c r="A1147" t="s">
        <v>1740</v>
      </c>
      <c r="B1147">
        <v>4100625</v>
      </c>
      <c r="C1147">
        <v>4182016</v>
      </c>
      <c r="D1147" s="13">
        <f t="shared" si="23"/>
        <v>34.025718670923041</v>
      </c>
      <c r="E1147" s="61" t="s">
        <v>1931</v>
      </c>
      <c r="F1147" s="65">
        <v>1691.5106987594374</v>
      </c>
      <c r="G1147" s="6">
        <v>1648</v>
      </c>
      <c r="H1147" s="6">
        <v>1589</v>
      </c>
      <c r="I1147" s="65">
        <v>-10.095087461010907</v>
      </c>
      <c r="J1147" s="6">
        <f>VLOOKUP($D1147,Sheet1!$A$5:$C$192,3,TRUE)</f>
        <v>6</v>
      </c>
      <c r="K1147" s="42" t="str">
        <f>VLOOKUP($D1147,Sheet1!$A$5:$C$192,2,TRUE)</f>
        <v>(|</v>
      </c>
      <c r="L1147" s="6">
        <f>FLOOR(VLOOKUP($D1147,Sheet1!$D$5:$F$192,3,TRUE),1)</f>
        <v>14</v>
      </c>
      <c r="M1147" s="42" t="str">
        <f>VLOOKUP($D1147,Sheet1!$D$5:$F$192,2,TRUE)</f>
        <v>(|</v>
      </c>
      <c r="N1147" s="23">
        <f>FLOOR(VLOOKUP($D1147,Sheet1!$G$5:$I$192,3,TRUE),1)</f>
        <v>17</v>
      </c>
      <c r="O1147" s="42" t="str">
        <f>VLOOKUP($D1147,Sheet1!$G$5:$I$192,2,TRUE)</f>
        <v>(|</v>
      </c>
      <c r="P1147" s="23">
        <v>1</v>
      </c>
      <c r="Q1147" s="43" t="str">
        <f>VLOOKUP($D1147,Sheet1!$J$5:$L$192,2,TRUE)</f>
        <v>(|''</v>
      </c>
      <c r="R1147" s="23">
        <f>FLOOR(VLOOKUP($D1147,Sheet1!$M$5:$O$192,3,TRUE),1)</f>
        <v>70</v>
      </c>
      <c r="S1147" s="42" t="str">
        <f>VLOOKUP($D1147,Sheet1!$M$5:$O$192,2,TRUE)</f>
        <v>(|''</v>
      </c>
      <c r="T1147" s="117">
        <f>IF(ABS(D1147-VLOOKUP($D1147,Sheet1!$M$5:$T$192,8,TRUE))&lt;10^-10,"SoCA",D1147-VLOOKUP($D1147,Sheet1!$M$5:$T$192,8,TRUE))</f>
        <v>4.522343935395412E-2</v>
      </c>
      <c r="U1147" s="109">
        <f>IF(VLOOKUP($D1147,Sheet1!$M$5:$U$192,9,TRUE)=0,"",IF(ABS(D1147-VLOOKUP($D1147,Sheet1!$M$5:$U$192,9,TRUE))&lt;10^-10,"Alt.",D1147-VLOOKUP($D1147,Sheet1!$M$5:$U$192,9,TRUE)))</f>
        <v>5.9275606748407483E-2</v>
      </c>
      <c r="V1147" s="132">
        <f>$D1147-Sheet1!$M$3*$R1147</f>
        <v>-0.12857499448397647</v>
      </c>
      <c r="Z1147" s="6"/>
      <c r="AA1147" s="61"/>
    </row>
    <row r="1148" spans="1:27" ht="13.5">
      <c r="A1148" s="21" t="s">
        <v>137</v>
      </c>
      <c r="B1148" s="21">
        <f>7*11^2</f>
        <v>847</v>
      </c>
      <c r="C1148" s="21">
        <f>2^5*3^3</f>
        <v>864</v>
      </c>
      <c r="D1148" s="13">
        <f t="shared" si="23"/>
        <v>34.403211397523904</v>
      </c>
      <c r="E1148" s="61">
        <v>11</v>
      </c>
      <c r="F1148" s="65">
        <v>46.493357535011839</v>
      </c>
      <c r="G1148" s="6">
        <v>167</v>
      </c>
      <c r="H1148" s="6">
        <v>145</v>
      </c>
      <c r="I1148" s="65">
        <v>0.88166893653139855</v>
      </c>
      <c r="J1148" s="6">
        <f>VLOOKUP($D1148,Sheet1!$A$5:$C$192,3,TRUE)</f>
        <v>6</v>
      </c>
      <c r="K1148" s="42" t="str">
        <f>VLOOKUP($D1148,Sheet1!$A$5:$C$192,2,TRUE)</f>
        <v>(|</v>
      </c>
      <c r="L1148" s="6">
        <f>FLOOR(VLOOKUP($D1148,Sheet1!$D$5:$F$192,3,TRUE),1)</f>
        <v>15</v>
      </c>
      <c r="M1148" s="42" t="str">
        <f>VLOOKUP($D1148,Sheet1!$D$5:$F$192,2,TRUE)</f>
        <v>~|)</v>
      </c>
      <c r="N1148" s="23">
        <f>FLOOR(VLOOKUP($D1148,Sheet1!$G$5:$I$192,3,TRUE),1)</f>
        <v>18</v>
      </c>
      <c r="O1148" s="42" t="str">
        <f>VLOOKUP($D1148,Sheet1!$G$5:$I$192,2,TRUE)</f>
        <v>'(|</v>
      </c>
      <c r="P1148" s="23">
        <v>1</v>
      </c>
      <c r="Q1148" s="43" t="str">
        <f>VLOOKUP($D1148,Sheet1!$J$5:$L$192,2,TRUE)</f>
        <v>'(|.</v>
      </c>
      <c r="R1148" s="23">
        <f>FLOOR(VLOOKUP($D1148,Sheet1!$M$5:$O$192,3,TRUE),1)</f>
        <v>71</v>
      </c>
      <c r="S1148" s="43" t="str">
        <f>VLOOKUP($D1148,Sheet1!$M$5:$O$192,2,TRUE)</f>
        <v>'(|.</v>
      </c>
      <c r="T1148" s="117">
        <f>IF(ABS(D1148-VLOOKUP($D1148,Sheet1!$M$5:$T$192,8,TRUE))&lt;10^-10,"SoCA",D1148-VLOOKUP($D1148,Sheet1!$M$5:$T$192,8,TRUE))</f>
        <v>-0.2757642519229222</v>
      </c>
      <c r="U1148" s="117">
        <f>IF(VLOOKUP($D1148,Sheet1!$M$5:$U$192,9,TRUE)=0,"",IF(ABS(D1148-VLOOKUP($D1148,Sheet1!$M$5:$U$192,9,TRUE))&lt;10^-10,"Alt.",D1148-VLOOKUP($D1148,Sheet1!$M$5:$U$192,9,TRUE)))</f>
        <v>-0.3027245471253579</v>
      </c>
      <c r="V1148" s="134">
        <f>$D1148-Sheet1!$M$3*$R1148</f>
        <v>-0.23900074881749589</v>
      </c>
      <c r="Z1148" s="6"/>
      <c r="AA1148" s="61"/>
    </row>
    <row r="1149" spans="1:27" ht="13.5">
      <c r="A1149" s="38" t="s">
        <v>471</v>
      </c>
      <c r="B1149" s="38">
        <f>13*19</f>
        <v>247</v>
      </c>
      <c r="C1149" s="38">
        <f>2^2*3^2*7</f>
        <v>252</v>
      </c>
      <c r="D1149" s="13">
        <f t="shared" si="23"/>
        <v>34.695230298286717</v>
      </c>
      <c r="E1149" s="61">
        <v>19</v>
      </c>
      <c r="F1149" s="65">
        <v>46.852303374997895</v>
      </c>
      <c r="G1149" s="6">
        <v>364</v>
      </c>
      <c r="H1149" s="6">
        <v>309</v>
      </c>
      <c r="I1149" s="65">
        <v>-0.13631173107134575</v>
      </c>
      <c r="J1149" s="6">
        <f>VLOOKUP($D1149,Sheet1!$A$5:$C$192,3,TRUE)</f>
        <v>6</v>
      </c>
      <c r="K1149" s="42" t="str">
        <f>VLOOKUP($D1149,Sheet1!$A$5:$C$192,2,TRUE)</f>
        <v>(|</v>
      </c>
      <c r="L1149" s="6">
        <f>FLOOR(VLOOKUP($D1149,Sheet1!$D$5:$F$192,3,TRUE),1)</f>
        <v>15</v>
      </c>
      <c r="M1149" s="42" t="str">
        <f>VLOOKUP($D1149,Sheet1!$D$5:$F$192,2,TRUE)</f>
        <v>~|)</v>
      </c>
      <c r="N1149" s="23">
        <f>FLOOR(VLOOKUP($D1149,Sheet1!$G$5:$I$192,3,TRUE),1)</f>
        <v>18</v>
      </c>
      <c r="O1149" s="42" t="str">
        <f>VLOOKUP($D1149,Sheet1!$G$5:$I$192,2,TRUE)</f>
        <v>'(|</v>
      </c>
      <c r="P1149" s="23">
        <v>1</v>
      </c>
      <c r="Q1149" s="45" t="str">
        <f>VLOOKUP($D1149,Sheet1!$J$5:$L$192,2,TRUE)</f>
        <v>'(|.</v>
      </c>
      <c r="R1149" s="38">
        <f>FLOOR(VLOOKUP($D1149,Sheet1!$M$5:$O$192,3,TRUE),1)</f>
        <v>71</v>
      </c>
      <c r="S1149" s="45" t="str">
        <f>VLOOKUP($D1149,Sheet1!$M$5:$O$192,2,TRUE)</f>
        <v>'(|.</v>
      </c>
      <c r="T1149" s="108">
        <f>IF(ABS(D1149-VLOOKUP($D1149,Sheet1!$M$5:$T$192,8,TRUE))&lt;10^-10,"SoCA",D1149-VLOOKUP($D1149,Sheet1!$M$5:$T$192,8,TRUE))</f>
        <v>1.6254648839890251E-2</v>
      </c>
      <c r="U1149" s="108">
        <f>IF(VLOOKUP($D1149,Sheet1!$M$5:$U$192,9,TRUE)=0,"",IF(ABS(D1149-VLOOKUP($D1149,Sheet1!$M$5:$U$192,9,TRUE))&lt;10^-10,"Alt.",D1149-VLOOKUP($D1149,Sheet1!$M$5:$U$192,9,TRUE)))</f>
        <v>-1.0705646362545451E-2</v>
      </c>
      <c r="V1149" s="133">
        <f>$D1149-Sheet1!$M$3*$R1149</f>
        <v>5.3018151945316561E-2</v>
      </c>
      <c r="Z1149" s="6"/>
      <c r="AA1149" s="61"/>
    </row>
    <row r="1150" spans="1:27" ht="13.5">
      <c r="A1150" s="23" t="s">
        <v>1506</v>
      </c>
      <c r="B1150" s="23">
        <f>2^18*17</f>
        <v>4456448</v>
      </c>
      <c r="C1150" s="23">
        <f>3^10*7*11</f>
        <v>4546773</v>
      </c>
      <c r="D1150" s="13">
        <f t="shared" si="23"/>
        <v>34.73844798734855</v>
      </c>
      <c r="E1150" s="61">
        <v>17</v>
      </c>
      <c r="F1150" s="65">
        <v>54.53204136456953</v>
      </c>
      <c r="G1150" s="6">
        <v>1416</v>
      </c>
      <c r="H1150" s="6">
        <v>1355</v>
      </c>
      <c r="I1150" s="65">
        <v>7.8610271983625033</v>
      </c>
      <c r="J1150" s="6">
        <f>VLOOKUP($D1150,Sheet1!$A$5:$C$192,3,TRUE)</f>
        <v>6</v>
      </c>
      <c r="K1150" s="42" t="str">
        <f>VLOOKUP($D1150,Sheet1!$A$5:$C$192,2,TRUE)</f>
        <v>(|</v>
      </c>
      <c r="L1150" s="6">
        <f>FLOOR(VLOOKUP($D1150,Sheet1!$D$5:$F$192,3,TRUE),1)</f>
        <v>15</v>
      </c>
      <c r="M1150" s="42" t="str">
        <f>VLOOKUP($D1150,Sheet1!$D$5:$F$192,2,TRUE)</f>
        <v>~|)</v>
      </c>
      <c r="N1150" s="23">
        <f>FLOOR(VLOOKUP($D1150,Sheet1!$G$5:$I$192,3,TRUE),1)</f>
        <v>18</v>
      </c>
      <c r="O1150" s="42" t="str">
        <f>VLOOKUP($D1150,Sheet1!$G$5:$I$192,2,TRUE)</f>
        <v>'(|</v>
      </c>
      <c r="P1150" s="23">
        <v>1</v>
      </c>
      <c r="Q1150" s="43" t="str">
        <f>VLOOKUP($D1150,Sheet1!$J$5:$L$192,2,TRUE)</f>
        <v>'(|.</v>
      </c>
      <c r="R1150" s="23">
        <f>FLOOR(VLOOKUP($D1150,Sheet1!$M$5:$O$192,3,TRUE),1)</f>
        <v>71</v>
      </c>
      <c r="S1150" s="43" t="str">
        <f>VLOOKUP($D1150,Sheet1!$M$5:$O$192,2,TRUE)</f>
        <v>'(|.</v>
      </c>
      <c r="T1150" s="117">
        <f>IF(ABS(D1150-VLOOKUP($D1150,Sheet1!$M$5:$T$192,8,TRUE))&lt;10^-10,"SoCA",D1150-VLOOKUP($D1150,Sheet1!$M$5:$T$192,8,TRUE))</f>
        <v>5.9472337901723904E-2</v>
      </c>
      <c r="U1150" s="117">
        <f>IF(VLOOKUP($D1150,Sheet1!$M$5:$U$192,9,TRUE)=0,"",IF(ABS(D1150-VLOOKUP($D1150,Sheet1!$M$5:$U$192,9,TRUE))&lt;10^-10,"Alt.",D1150-VLOOKUP($D1150,Sheet1!$M$5:$U$192,9,TRUE)))</f>
        <v>3.2512042699288202E-2</v>
      </c>
      <c r="V1150" s="132">
        <f>$D1150-Sheet1!$M$3*$R1150</f>
        <v>9.6235841007150213E-2</v>
      </c>
      <c r="Z1150" s="6"/>
      <c r="AA1150" s="61"/>
    </row>
    <row r="1151" spans="1:27" ht="13.5">
      <c r="A1151" s="23" t="s">
        <v>485</v>
      </c>
      <c r="B1151" s="23">
        <f>2^3*43</f>
        <v>344</v>
      </c>
      <c r="C1151" s="23">
        <f>3^3*13</f>
        <v>351</v>
      </c>
      <c r="D1151" s="13">
        <f t="shared" si="23"/>
        <v>34.874958722955384</v>
      </c>
      <c r="E1151" s="61">
        <v>43</v>
      </c>
      <c r="F1151" s="65">
        <v>56.10997667347764</v>
      </c>
      <c r="G1151" s="6">
        <v>370</v>
      </c>
      <c r="H1151" s="6">
        <v>325</v>
      </c>
      <c r="I1151" s="65">
        <v>0.85262173503550409</v>
      </c>
      <c r="J1151" s="6">
        <f>VLOOKUP($D1151,Sheet1!$A$5:$C$192,3,TRUE)</f>
        <v>6</v>
      </c>
      <c r="K1151" s="42" t="str">
        <f>VLOOKUP($D1151,Sheet1!$A$5:$C$192,2,TRUE)</f>
        <v>(|</v>
      </c>
      <c r="L1151" s="6">
        <f>FLOOR(VLOOKUP($D1151,Sheet1!$D$5:$F$192,3,TRUE),1)</f>
        <v>15</v>
      </c>
      <c r="M1151" s="42" t="str">
        <f>VLOOKUP($D1151,Sheet1!$D$5:$F$192,2,TRUE)</f>
        <v>~|)</v>
      </c>
      <c r="N1151" s="23">
        <f>FLOOR(VLOOKUP($D1151,Sheet1!$G$5:$I$192,3,TRUE),1)</f>
        <v>18</v>
      </c>
      <c r="O1151" s="42" t="str">
        <f>VLOOKUP($D1151,Sheet1!$G$5:$I$192,2,TRUE)</f>
        <v>'(|</v>
      </c>
      <c r="P1151" s="23">
        <v>1</v>
      </c>
      <c r="Q1151" s="43" t="str">
        <f>VLOOKUP($D1151,Sheet1!$J$5:$L$192,2,TRUE)</f>
        <v>'(|.</v>
      </c>
      <c r="R1151" s="23">
        <f>FLOOR(VLOOKUP($D1151,Sheet1!$M$5:$O$192,3,TRUE),1)</f>
        <v>71</v>
      </c>
      <c r="S1151" s="43" t="str">
        <f>VLOOKUP($D1151,Sheet1!$M$5:$O$192,2,TRUE)</f>
        <v>'(|.</v>
      </c>
      <c r="T1151" s="117">
        <f>IF(ABS(D1151-VLOOKUP($D1151,Sheet1!$M$5:$T$192,8,TRUE))&lt;10^-10,"SoCA",D1151-VLOOKUP($D1151,Sheet1!$M$5:$T$192,8,TRUE))</f>
        <v>0.19598307350855748</v>
      </c>
      <c r="U1151" s="117">
        <f>IF(VLOOKUP($D1151,Sheet1!$M$5:$U$192,9,TRUE)=0,"",IF(ABS(D1151-VLOOKUP($D1151,Sheet1!$M$5:$U$192,9,TRUE))&lt;10^-10,"Alt.",D1151-VLOOKUP($D1151,Sheet1!$M$5:$U$192,9,TRUE)))</f>
        <v>0.16902277830612178</v>
      </c>
      <c r="V1151" s="132">
        <f>$D1151-Sheet1!$M$3*$R1151</f>
        <v>0.23274657661398379</v>
      </c>
      <c r="Z1151" s="6"/>
      <c r="AA1151" s="61"/>
    </row>
    <row r="1152" spans="1:27" ht="13.5">
      <c r="A1152" s="6" t="s">
        <v>392</v>
      </c>
      <c r="B1152" s="6">
        <f>5^2*7^3</f>
        <v>8575</v>
      </c>
      <c r="C1152" s="6">
        <f>2^2*3^7</f>
        <v>8748</v>
      </c>
      <c r="D1152" s="13">
        <f t="shared" si="23"/>
        <v>34.579858920667483</v>
      </c>
      <c r="E1152" s="61">
        <v>7</v>
      </c>
      <c r="F1152" s="65">
        <v>63.5187772978732</v>
      </c>
      <c r="G1152" s="6">
        <v>237</v>
      </c>
      <c r="H1152" s="6">
        <v>227</v>
      </c>
      <c r="I1152" s="65">
        <v>4.8707921049694836</v>
      </c>
      <c r="J1152" s="6">
        <f>VLOOKUP($D1152,Sheet1!$A$5:$C$192,3,TRUE)</f>
        <v>6</v>
      </c>
      <c r="K1152" s="42" t="str">
        <f>VLOOKUP($D1152,Sheet1!$A$5:$C$192,2,TRUE)</f>
        <v>(|</v>
      </c>
      <c r="L1152" s="6">
        <f>FLOOR(VLOOKUP($D1152,Sheet1!$D$5:$F$192,3,TRUE),1)</f>
        <v>15</v>
      </c>
      <c r="M1152" s="42" t="str">
        <f>VLOOKUP($D1152,Sheet1!$D$5:$F$192,2,TRUE)</f>
        <v>~|)</v>
      </c>
      <c r="N1152" s="23">
        <f>FLOOR(VLOOKUP($D1152,Sheet1!$G$5:$I$192,3,TRUE),1)</f>
        <v>18</v>
      </c>
      <c r="O1152" s="42" t="str">
        <f>VLOOKUP($D1152,Sheet1!$G$5:$I$192,2,TRUE)</f>
        <v>'(|</v>
      </c>
      <c r="P1152" s="23">
        <v>1</v>
      </c>
      <c r="Q1152" s="43" t="str">
        <f>VLOOKUP($D1152,Sheet1!$J$5:$L$192,2,TRUE)</f>
        <v>'(|.</v>
      </c>
      <c r="R1152" s="23">
        <f>FLOOR(VLOOKUP($D1152,Sheet1!$M$5:$O$192,3,TRUE),1)</f>
        <v>71</v>
      </c>
      <c r="S1152" s="42" t="str">
        <f>VLOOKUP($D1152,Sheet1!$M$5:$O$192,2,TRUE)</f>
        <v>'(|.</v>
      </c>
      <c r="T1152" s="117">
        <f>IF(ABS(D1152-VLOOKUP($D1152,Sheet1!$M$5:$T$192,8,TRUE))&lt;10^-10,"SoCA",D1152-VLOOKUP($D1152,Sheet1!$M$5:$T$192,8,TRUE))</f>
        <v>-9.9116728779343077E-2</v>
      </c>
      <c r="U1152" s="109">
        <f>IF(VLOOKUP($D1152,Sheet1!$M$5:$U$192,9,TRUE)=0,"",IF(ABS(D1152-VLOOKUP($D1152,Sheet1!$M$5:$U$192,9,TRUE))&lt;10^-10,"Alt.",D1152-VLOOKUP($D1152,Sheet1!$M$5:$U$192,9,TRUE)))</f>
        <v>-0.12607702398177878</v>
      </c>
      <c r="V1152" s="132">
        <f>$D1152-Sheet1!$M$3*$R1152</f>
        <v>-6.2353225673916768E-2</v>
      </c>
      <c r="Z1152" s="6"/>
      <c r="AA1152" s="61"/>
    </row>
    <row r="1153" spans="1:27" ht="13.5">
      <c r="A1153" t="s">
        <v>923</v>
      </c>
      <c r="B1153">
        <v>32000</v>
      </c>
      <c r="C1153">
        <v>32643</v>
      </c>
      <c r="D1153" s="13">
        <f t="shared" si="23"/>
        <v>34.442096100606101</v>
      </c>
      <c r="E1153" s="61">
        <v>31</v>
      </c>
      <c r="F1153" s="65">
        <v>71.023449824755303</v>
      </c>
      <c r="G1153" s="6">
        <v>832</v>
      </c>
      <c r="H1153" s="6">
        <v>771</v>
      </c>
      <c r="I1153" s="65">
        <v>1.8792746636979416</v>
      </c>
      <c r="J1153" s="6">
        <f>VLOOKUP($D1153,Sheet1!$A$5:$C$192,3,TRUE)</f>
        <v>6</v>
      </c>
      <c r="K1153" s="42" t="str">
        <f>VLOOKUP($D1153,Sheet1!$A$5:$C$192,2,TRUE)</f>
        <v>(|</v>
      </c>
      <c r="L1153" s="6">
        <f>FLOOR(VLOOKUP($D1153,Sheet1!$D$5:$F$192,3,TRUE),1)</f>
        <v>15</v>
      </c>
      <c r="M1153" s="42" t="str">
        <f>VLOOKUP($D1153,Sheet1!$D$5:$F$192,2,TRUE)</f>
        <v>~|)</v>
      </c>
      <c r="N1153" s="23">
        <f>FLOOR(VLOOKUP($D1153,Sheet1!$G$5:$I$192,3,TRUE),1)</f>
        <v>18</v>
      </c>
      <c r="O1153" s="42" t="str">
        <f>VLOOKUP($D1153,Sheet1!$G$5:$I$192,2,TRUE)</f>
        <v>'(|</v>
      </c>
      <c r="P1153" s="23">
        <v>1</v>
      </c>
      <c r="Q1153" s="43" t="str">
        <f>VLOOKUP($D1153,Sheet1!$J$5:$L$192,2,TRUE)</f>
        <v>'(|.</v>
      </c>
      <c r="R1153" s="23">
        <f>FLOOR(VLOOKUP($D1153,Sheet1!$M$5:$O$192,3,TRUE),1)</f>
        <v>71</v>
      </c>
      <c r="S1153" s="42" t="str">
        <f>VLOOKUP($D1153,Sheet1!$M$5:$O$192,2,TRUE)</f>
        <v>'(|.</v>
      </c>
      <c r="T1153" s="117">
        <f>IF(ABS(D1153-VLOOKUP($D1153,Sheet1!$M$5:$T$192,8,TRUE))&lt;10^-10,"SoCA",D1153-VLOOKUP($D1153,Sheet1!$M$5:$T$192,8,TRUE))</f>
        <v>-0.23687954884072582</v>
      </c>
      <c r="U1153" s="109">
        <f>IF(VLOOKUP($D1153,Sheet1!$M$5:$U$192,9,TRUE)=0,"",IF(ABS(D1153-VLOOKUP($D1153,Sheet1!$M$5:$U$192,9,TRUE))&lt;10^-10,"Alt.",D1153-VLOOKUP($D1153,Sheet1!$M$5:$U$192,9,TRUE)))</f>
        <v>-0.26383984404316152</v>
      </c>
      <c r="V1153" s="132">
        <f>$D1153-Sheet1!$M$3*$R1153</f>
        <v>-0.20011604573529951</v>
      </c>
      <c r="Z1153" s="6"/>
      <c r="AA1153" s="61"/>
    </row>
    <row r="1154" spans="1:27" ht="13.5">
      <c r="A1154" s="6" t="s">
        <v>1814</v>
      </c>
      <c r="B1154">
        <v>610173</v>
      </c>
      <c r="C1154">
        <v>622592</v>
      </c>
      <c r="D1154" s="13">
        <f t="shared" si="23"/>
        <v>34.88243587956557</v>
      </c>
      <c r="E1154" s="61">
        <v>31</v>
      </c>
      <c r="F1154" s="65">
        <v>80.351439655585992</v>
      </c>
      <c r="G1154" s="59">
        <v>1271</v>
      </c>
      <c r="H1154" s="63">
        <v>1000019</v>
      </c>
      <c r="I1154" s="65">
        <v>-11.147838660737751</v>
      </c>
      <c r="J1154" s="6">
        <f>VLOOKUP($D1154,Sheet1!$A$5:$C$192,3,TRUE)</f>
        <v>6</v>
      </c>
      <c r="K1154" s="42" t="str">
        <f>VLOOKUP($D1154,Sheet1!$A$5:$C$192,2,TRUE)</f>
        <v>(|</v>
      </c>
      <c r="L1154" s="6">
        <f>FLOOR(VLOOKUP($D1154,Sheet1!$D$5:$F$192,3,TRUE),1)</f>
        <v>15</v>
      </c>
      <c r="M1154" s="42" t="str">
        <f>VLOOKUP($D1154,Sheet1!$D$5:$F$192,2,TRUE)</f>
        <v>~|)</v>
      </c>
      <c r="N1154" s="23">
        <f>FLOOR(VLOOKUP($D1154,Sheet1!$G$5:$I$192,3,TRUE),1)</f>
        <v>18</v>
      </c>
      <c r="O1154" s="42" t="str">
        <f>VLOOKUP($D1154,Sheet1!$G$5:$I$192,2,TRUE)</f>
        <v>'(|</v>
      </c>
      <c r="P1154" s="23">
        <v>1</v>
      </c>
      <c r="Q1154" s="43" t="str">
        <f>VLOOKUP($D1154,Sheet1!$J$5:$L$192,2,TRUE)</f>
        <v>'(|.</v>
      </c>
      <c r="R1154" s="23">
        <f>FLOOR(VLOOKUP($D1154,Sheet1!$M$5:$O$192,3,TRUE),1)</f>
        <v>71</v>
      </c>
      <c r="S1154" s="42" t="str">
        <f>VLOOKUP($D1154,Sheet1!$M$5:$O$192,2,TRUE)</f>
        <v>'(|.</v>
      </c>
      <c r="T1154" s="117">
        <f>IF(ABS(D1154-VLOOKUP($D1154,Sheet1!$M$5:$T$192,8,TRUE))&lt;10^-10,"SoCA",D1154-VLOOKUP($D1154,Sheet1!$M$5:$T$192,8,TRUE))</f>
        <v>0.20346023011874337</v>
      </c>
      <c r="U1154" s="109">
        <f>IF(VLOOKUP($D1154,Sheet1!$M$5:$U$192,9,TRUE)=0,"",IF(ABS(D1154-VLOOKUP($D1154,Sheet1!$M$5:$U$192,9,TRUE))&lt;10^-10,"Alt.",D1154-VLOOKUP($D1154,Sheet1!$M$5:$U$192,9,TRUE)))</f>
        <v>0.17649993491630767</v>
      </c>
      <c r="V1154" s="132">
        <f>$D1154-Sheet1!$M$3*$R1154</f>
        <v>0.24022373322416968</v>
      </c>
      <c r="Z1154" s="6"/>
      <c r="AA1154" s="61"/>
    </row>
    <row r="1155" spans="1:27" ht="13.5">
      <c r="A1155" t="s">
        <v>641</v>
      </c>
      <c r="B1155">
        <v>2133</v>
      </c>
      <c r="C1155">
        <v>2176</v>
      </c>
      <c r="D1155" s="13">
        <f t="shared" si="23"/>
        <v>34.553509091721402</v>
      </c>
      <c r="E1155" s="61" t="s">
        <v>1931</v>
      </c>
      <c r="F1155" s="65">
        <v>96.544043780410135</v>
      </c>
      <c r="G1155" s="6">
        <v>503</v>
      </c>
      <c r="H1155" s="6">
        <v>486</v>
      </c>
      <c r="I1155" s="65">
        <v>-5.127585440064653</v>
      </c>
      <c r="J1155" s="6">
        <f>VLOOKUP($D1155,Sheet1!$A$5:$C$192,3,TRUE)</f>
        <v>6</v>
      </c>
      <c r="K1155" s="42" t="str">
        <f>VLOOKUP($D1155,Sheet1!$A$5:$C$192,2,TRUE)</f>
        <v>(|</v>
      </c>
      <c r="L1155" s="6">
        <f>FLOOR(VLOOKUP($D1155,Sheet1!$D$5:$F$192,3,TRUE),1)</f>
        <v>15</v>
      </c>
      <c r="M1155" s="42" t="str">
        <f>VLOOKUP($D1155,Sheet1!$D$5:$F$192,2,TRUE)</f>
        <v>~|)</v>
      </c>
      <c r="N1155" s="23">
        <f>FLOOR(VLOOKUP($D1155,Sheet1!$G$5:$I$192,3,TRUE),1)</f>
        <v>18</v>
      </c>
      <c r="O1155" s="42" t="str">
        <f>VLOOKUP($D1155,Sheet1!$G$5:$I$192,2,TRUE)</f>
        <v>'(|</v>
      </c>
      <c r="P1155" s="23">
        <v>1</v>
      </c>
      <c r="Q1155" s="43" t="str">
        <f>VLOOKUP($D1155,Sheet1!$J$5:$L$192,2,TRUE)</f>
        <v>'(|.</v>
      </c>
      <c r="R1155" s="23">
        <f>FLOOR(VLOOKUP($D1155,Sheet1!$M$5:$O$192,3,TRUE),1)</f>
        <v>71</v>
      </c>
      <c r="S1155" s="42" t="str">
        <f>VLOOKUP($D1155,Sheet1!$M$5:$O$192,2,TRUE)</f>
        <v>'(|.</v>
      </c>
      <c r="T1155" s="117">
        <f>IF(ABS(D1155-VLOOKUP($D1155,Sheet1!$M$5:$T$192,8,TRUE))&lt;10^-10,"SoCA",D1155-VLOOKUP($D1155,Sheet1!$M$5:$T$192,8,TRUE))</f>
        <v>-0.12546655772542437</v>
      </c>
      <c r="U1155" s="109">
        <f>IF(VLOOKUP($D1155,Sheet1!$M$5:$U$192,9,TRUE)=0,"",IF(ABS(D1155-VLOOKUP($D1155,Sheet1!$M$5:$U$192,9,TRUE))&lt;10^-10,"Alt.",D1155-VLOOKUP($D1155,Sheet1!$M$5:$U$192,9,TRUE)))</f>
        <v>-0.15242685292786007</v>
      </c>
      <c r="V1155" s="132">
        <f>$D1155-Sheet1!$M$3*$R1155</f>
        <v>-8.8703054619998056E-2</v>
      </c>
      <c r="Z1155" s="6"/>
      <c r="AA1155" s="61"/>
    </row>
    <row r="1156" spans="1:27" ht="13.5">
      <c r="A1156" t="s">
        <v>1722</v>
      </c>
      <c r="B1156">
        <v>80740352</v>
      </c>
      <c r="C1156">
        <v>82373355</v>
      </c>
      <c r="D1156" s="13">
        <f t="shared" ref="D1156:D1219" si="24">1200*LN($C1156/$B1156)/LN(2)</f>
        <v>34.66544787985233</v>
      </c>
      <c r="E1156" s="61">
        <v>31</v>
      </c>
      <c r="F1156" s="65">
        <v>109.91376139194961</v>
      </c>
      <c r="G1156" s="6">
        <v>1631</v>
      </c>
      <c r="H1156" s="6">
        <v>1571</v>
      </c>
      <c r="I1156" s="65">
        <v>9.8655220809349178</v>
      </c>
      <c r="J1156" s="6">
        <f>VLOOKUP($D1156,Sheet1!$A$5:$C$192,3,TRUE)</f>
        <v>6</v>
      </c>
      <c r="K1156" s="42" t="str">
        <f>VLOOKUP($D1156,Sheet1!$A$5:$C$192,2,TRUE)</f>
        <v>(|</v>
      </c>
      <c r="L1156" s="6">
        <f>FLOOR(VLOOKUP($D1156,Sheet1!$D$5:$F$192,3,TRUE),1)</f>
        <v>15</v>
      </c>
      <c r="M1156" s="42" t="str">
        <f>VLOOKUP($D1156,Sheet1!$D$5:$F$192,2,TRUE)</f>
        <v>~|)</v>
      </c>
      <c r="N1156" s="23">
        <f>FLOOR(VLOOKUP($D1156,Sheet1!$G$5:$I$192,3,TRUE),1)</f>
        <v>18</v>
      </c>
      <c r="O1156" s="42" t="str">
        <f>VLOOKUP($D1156,Sheet1!$G$5:$I$192,2,TRUE)</f>
        <v>'(|</v>
      </c>
      <c r="P1156" s="23">
        <v>1</v>
      </c>
      <c r="Q1156" s="43" t="str">
        <f>VLOOKUP($D1156,Sheet1!$J$5:$L$192,2,TRUE)</f>
        <v>'(|.</v>
      </c>
      <c r="R1156" s="23">
        <f>FLOOR(VLOOKUP($D1156,Sheet1!$M$5:$O$192,3,TRUE),1)</f>
        <v>71</v>
      </c>
      <c r="S1156" s="42" t="str">
        <f>VLOOKUP($D1156,Sheet1!$M$5:$O$192,2,TRUE)</f>
        <v>'(|.</v>
      </c>
      <c r="T1156" s="117">
        <f>IF(ABS(D1156-VLOOKUP($D1156,Sheet1!$M$5:$T$192,8,TRUE))&lt;10^-10,"SoCA",D1156-VLOOKUP($D1156,Sheet1!$M$5:$T$192,8,TRUE))</f>
        <v>-1.3527769594496419E-2</v>
      </c>
      <c r="U1156" s="109">
        <f>IF(VLOOKUP($D1156,Sheet1!$M$5:$U$192,9,TRUE)=0,"",IF(ABS(D1156-VLOOKUP($D1156,Sheet1!$M$5:$U$192,9,TRUE))&lt;10^-10,"Alt.",D1156-VLOOKUP($D1156,Sheet1!$M$5:$U$192,9,TRUE)))</f>
        <v>-4.0488064796932122E-2</v>
      </c>
      <c r="V1156" s="132">
        <f>$D1156-Sheet1!$M$3*$R1156</f>
        <v>2.323573351092989E-2</v>
      </c>
      <c r="Z1156" s="6"/>
      <c r="AA1156" s="61"/>
    </row>
    <row r="1157" spans="1:27" ht="13.5">
      <c r="A1157" t="s">
        <v>919</v>
      </c>
      <c r="B1157">
        <v>6272</v>
      </c>
      <c r="C1157">
        <v>6399</v>
      </c>
      <c r="D1157" s="13">
        <f t="shared" si="24"/>
        <v>34.705088335823426</v>
      </c>
      <c r="E1157" s="61" t="s">
        <v>1931</v>
      </c>
      <c r="F1157" s="65">
        <v>111.84701310470193</v>
      </c>
      <c r="G1157" s="6">
        <v>828</v>
      </c>
      <c r="H1157" s="6">
        <v>767</v>
      </c>
      <c r="I1157" s="65">
        <v>1.8630812736427327</v>
      </c>
      <c r="J1157" s="6">
        <f>VLOOKUP($D1157,Sheet1!$A$5:$C$192,3,TRUE)</f>
        <v>6</v>
      </c>
      <c r="K1157" s="42" t="str">
        <f>VLOOKUP($D1157,Sheet1!$A$5:$C$192,2,TRUE)</f>
        <v>(|</v>
      </c>
      <c r="L1157" s="6">
        <f>FLOOR(VLOOKUP($D1157,Sheet1!$D$5:$F$192,3,TRUE),1)</f>
        <v>15</v>
      </c>
      <c r="M1157" s="42" t="str">
        <f>VLOOKUP($D1157,Sheet1!$D$5:$F$192,2,TRUE)</f>
        <v>~|)</v>
      </c>
      <c r="N1157" s="23">
        <f>FLOOR(VLOOKUP($D1157,Sheet1!$G$5:$I$192,3,TRUE),1)</f>
        <v>18</v>
      </c>
      <c r="O1157" s="42" t="str">
        <f>VLOOKUP($D1157,Sheet1!$G$5:$I$192,2,TRUE)</f>
        <v>'(|</v>
      </c>
      <c r="P1157" s="23">
        <v>1</v>
      </c>
      <c r="Q1157" s="43" t="str">
        <f>VLOOKUP($D1157,Sheet1!$J$5:$L$192,2,TRUE)</f>
        <v>'(|.</v>
      </c>
      <c r="R1157" s="23">
        <f>FLOOR(VLOOKUP($D1157,Sheet1!$M$5:$O$192,3,TRUE),1)</f>
        <v>71</v>
      </c>
      <c r="S1157" s="42" t="str">
        <f>VLOOKUP($D1157,Sheet1!$M$5:$O$192,2,TRUE)</f>
        <v>'(|.</v>
      </c>
      <c r="T1157" s="117">
        <f>IF(ABS(D1157-VLOOKUP($D1157,Sheet1!$M$5:$T$192,8,TRUE))&lt;10^-10,"SoCA",D1157-VLOOKUP($D1157,Sheet1!$M$5:$T$192,8,TRUE))</f>
        <v>2.611268637659947E-2</v>
      </c>
      <c r="U1157" s="109">
        <f>IF(VLOOKUP($D1157,Sheet1!$M$5:$U$192,9,TRUE)=0,"",IF(ABS(D1157-VLOOKUP($D1157,Sheet1!$M$5:$U$192,9,TRUE))&lt;10^-10,"Alt.",D1157-VLOOKUP($D1157,Sheet1!$M$5:$U$192,9,TRUE)))</f>
        <v>-8.4760882583623243E-4</v>
      </c>
      <c r="V1157" s="132">
        <f>$D1157-Sheet1!$M$3*$R1157</f>
        <v>6.2876189482025779E-2</v>
      </c>
      <c r="Z1157" s="6"/>
      <c r="AA1157" s="61"/>
    </row>
    <row r="1158" spans="1:27" ht="13.5">
      <c r="A1158" t="s">
        <v>1141</v>
      </c>
      <c r="B1158">
        <v>99</v>
      </c>
      <c r="C1158">
        <v>101</v>
      </c>
      <c r="D1158" s="13">
        <f t="shared" si="24"/>
        <v>34.625835206621986</v>
      </c>
      <c r="E1158" s="61" t="s">
        <v>1931</v>
      </c>
      <c r="F1158" s="65">
        <v>112.28170123276865</v>
      </c>
      <c r="G1158" s="6">
        <v>1048</v>
      </c>
      <c r="H1158" s="6">
        <v>990</v>
      </c>
      <c r="I1158" s="65">
        <v>-4.1320388224574653</v>
      </c>
      <c r="J1158" s="6">
        <f>VLOOKUP($D1158,Sheet1!$A$5:$C$192,3,TRUE)</f>
        <v>6</v>
      </c>
      <c r="K1158" s="42" t="str">
        <f>VLOOKUP($D1158,Sheet1!$A$5:$C$192,2,TRUE)</f>
        <v>(|</v>
      </c>
      <c r="L1158" s="6">
        <f>FLOOR(VLOOKUP($D1158,Sheet1!$D$5:$F$192,3,TRUE),1)</f>
        <v>15</v>
      </c>
      <c r="M1158" s="42" t="str">
        <f>VLOOKUP($D1158,Sheet1!$D$5:$F$192,2,TRUE)</f>
        <v>~|)</v>
      </c>
      <c r="N1158" s="23">
        <f>FLOOR(VLOOKUP($D1158,Sheet1!$G$5:$I$192,3,TRUE),1)</f>
        <v>18</v>
      </c>
      <c r="O1158" s="42" t="str">
        <f>VLOOKUP($D1158,Sheet1!$G$5:$I$192,2,TRUE)</f>
        <v>'(|</v>
      </c>
      <c r="P1158" s="23">
        <v>1</v>
      </c>
      <c r="Q1158" s="43" t="str">
        <f>VLOOKUP($D1158,Sheet1!$J$5:$L$192,2,TRUE)</f>
        <v>'(|.</v>
      </c>
      <c r="R1158" s="23">
        <f>FLOOR(VLOOKUP($D1158,Sheet1!$M$5:$O$192,3,TRUE),1)</f>
        <v>71</v>
      </c>
      <c r="S1158" s="42" t="str">
        <f>VLOOKUP($D1158,Sheet1!$M$5:$O$192,2,TRUE)</f>
        <v>'(|.</v>
      </c>
      <c r="T1158" s="117">
        <f>IF(ABS(D1158-VLOOKUP($D1158,Sheet1!$M$5:$T$192,8,TRUE))&lt;10^-10,"SoCA",D1158-VLOOKUP($D1158,Sheet1!$M$5:$T$192,8,TRUE))</f>
        <v>-5.3140442824840761E-2</v>
      </c>
      <c r="U1158" s="109">
        <f>IF(VLOOKUP($D1158,Sheet1!$M$5:$U$192,9,TRUE)=0,"",IF(ABS(D1158-VLOOKUP($D1158,Sheet1!$M$5:$U$192,9,TRUE))&lt;10^-10,"Alt.",D1158-VLOOKUP($D1158,Sheet1!$M$5:$U$192,9,TRUE)))</f>
        <v>-8.0100738027276464E-2</v>
      </c>
      <c r="V1158" s="132">
        <f>$D1158-Sheet1!$M$3*$R1158</f>
        <v>-1.6376939719414452E-2</v>
      </c>
      <c r="Z1158" s="6"/>
      <c r="AA1158" s="61"/>
    </row>
    <row r="1159" spans="1:27" ht="13.5">
      <c r="A1159" t="s">
        <v>1613</v>
      </c>
      <c r="B1159">
        <v>269001</v>
      </c>
      <c r="C1159">
        <v>274432</v>
      </c>
      <c r="D1159" s="13">
        <f t="shared" si="24"/>
        <v>34.604616084526981</v>
      </c>
      <c r="E1159" s="61" t="s">
        <v>1931</v>
      </c>
      <c r="F1159" s="65">
        <v>125.87972573365629</v>
      </c>
      <c r="G1159" s="6">
        <v>1136</v>
      </c>
      <c r="H1159" s="6">
        <v>1462</v>
      </c>
      <c r="I1159" s="65">
        <v>-10.130732283804605</v>
      </c>
      <c r="J1159" s="6">
        <f>VLOOKUP($D1159,Sheet1!$A$5:$C$192,3,TRUE)</f>
        <v>6</v>
      </c>
      <c r="K1159" s="42" t="str">
        <f>VLOOKUP($D1159,Sheet1!$A$5:$C$192,2,TRUE)</f>
        <v>(|</v>
      </c>
      <c r="L1159" s="6">
        <f>FLOOR(VLOOKUP($D1159,Sheet1!$D$5:$F$192,3,TRUE),1)</f>
        <v>15</v>
      </c>
      <c r="M1159" s="42" t="str">
        <f>VLOOKUP($D1159,Sheet1!$D$5:$F$192,2,TRUE)</f>
        <v>~|)</v>
      </c>
      <c r="N1159" s="23">
        <f>FLOOR(VLOOKUP($D1159,Sheet1!$G$5:$I$192,3,TRUE),1)</f>
        <v>18</v>
      </c>
      <c r="O1159" s="42" t="str">
        <f>VLOOKUP($D1159,Sheet1!$G$5:$I$192,2,TRUE)</f>
        <v>'(|</v>
      </c>
      <c r="P1159" s="23">
        <v>1</v>
      </c>
      <c r="Q1159" s="43" t="str">
        <f>VLOOKUP($D1159,Sheet1!$J$5:$L$192,2,TRUE)</f>
        <v>'(|.</v>
      </c>
      <c r="R1159" s="23">
        <f>FLOOR(VLOOKUP($D1159,Sheet1!$M$5:$O$192,3,TRUE),1)</f>
        <v>71</v>
      </c>
      <c r="S1159" s="42" t="str">
        <f>VLOOKUP($D1159,Sheet1!$M$5:$O$192,2,TRUE)</f>
        <v>'(|.</v>
      </c>
      <c r="T1159" s="117">
        <f>IF(ABS(D1159-VLOOKUP($D1159,Sheet1!$M$5:$T$192,8,TRUE))&lt;10^-10,"SoCA",D1159-VLOOKUP($D1159,Sheet1!$M$5:$T$192,8,TRUE))</f>
        <v>-7.4359564919845411E-2</v>
      </c>
      <c r="U1159" s="109">
        <f>IF(VLOOKUP($D1159,Sheet1!$M$5:$U$192,9,TRUE)=0,"",IF(ABS(D1159-VLOOKUP($D1159,Sheet1!$M$5:$U$192,9,TRUE))&lt;10^-10,"Alt.",D1159-VLOOKUP($D1159,Sheet1!$M$5:$U$192,9,TRUE)))</f>
        <v>-0.10131986012228111</v>
      </c>
      <c r="V1159" s="132">
        <f>$D1159-Sheet1!$M$3*$R1159</f>
        <v>-3.7596061814419102E-2</v>
      </c>
      <c r="Z1159" s="6"/>
      <c r="AA1159" s="61"/>
    </row>
    <row r="1160" spans="1:27" ht="13.5">
      <c r="A1160" t="s">
        <v>1642</v>
      </c>
      <c r="B1160">
        <v>146529</v>
      </c>
      <c r="C1160">
        <v>149504</v>
      </c>
      <c r="D1160" s="13">
        <f t="shared" si="24"/>
        <v>34.797436048981815</v>
      </c>
      <c r="E1160" s="61" t="s">
        <v>1931</v>
      </c>
      <c r="F1160" s="65">
        <v>149.48891607360417</v>
      </c>
      <c r="G1160" s="6">
        <v>1552</v>
      </c>
      <c r="H1160" s="6">
        <v>1491</v>
      </c>
      <c r="I1160" s="65">
        <v>-9.1426049114974646</v>
      </c>
      <c r="J1160" s="6">
        <f>VLOOKUP($D1160,Sheet1!$A$5:$C$192,3,TRUE)</f>
        <v>6</v>
      </c>
      <c r="K1160" s="42" t="str">
        <f>VLOOKUP($D1160,Sheet1!$A$5:$C$192,2,TRUE)</f>
        <v>(|</v>
      </c>
      <c r="L1160" s="6">
        <f>FLOOR(VLOOKUP($D1160,Sheet1!$D$5:$F$192,3,TRUE),1)</f>
        <v>15</v>
      </c>
      <c r="M1160" s="42" t="str">
        <f>VLOOKUP($D1160,Sheet1!$D$5:$F$192,2,TRUE)</f>
        <v>~|)</v>
      </c>
      <c r="N1160" s="23">
        <f>FLOOR(VLOOKUP($D1160,Sheet1!$G$5:$I$192,3,TRUE),1)</f>
        <v>18</v>
      </c>
      <c r="O1160" s="42" t="str">
        <f>VLOOKUP($D1160,Sheet1!$G$5:$I$192,2,TRUE)</f>
        <v>'(|</v>
      </c>
      <c r="P1160" s="23">
        <v>1</v>
      </c>
      <c r="Q1160" s="43" t="str">
        <f>VLOOKUP($D1160,Sheet1!$J$5:$L$192,2,TRUE)</f>
        <v>'(|.</v>
      </c>
      <c r="R1160" s="23">
        <f>FLOOR(VLOOKUP($D1160,Sheet1!$M$5:$O$192,3,TRUE),1)</f>
        <v>71</v>
      </c>
      <c r="S1160" s="42" t="str">
        <f>VLOOKUP($D1160,Sheet1!$M$5:$O$192,2,TRUE)</f>
        <v>'(|.</v>
      </c>
      <c r="T1160" s="117">
        <f>IF(ABS(D1160-VLOOKUP($D1160,Sheet1!$M$5:$T$192,8,TRUE))&lt;10^-10,"SoCA",D1160-VLOOKUP($D1160,Sheet1!$M$5:$T$192,8,TRUE))</f>
        <v>0.11846039953498888</v>
      </c>
      <c r="U1160" s="109">
        <f>IF(VLOOKUP($D1160,Sheet1!$M$5:$U$192,9,TRUE)=0,"",IF(ABS(D1160-VLOOKUP($D1160,Sheet1!$M$5:$U$192,9,TRUE))&lt;10^-10,"Alt.",D1160-VLOOKUP($D1160,Sheet1!$M$5:$U$192,9,TRUE)))</f>
        <v>9.1500104332553178E-2</v>
      </c>
      <c r="V1160" s="132">
        <f>$D1160-Sheet1!$M$3*$R1160</f>
        <v>0.15522390264041519</v>
      </c>
      <c r="Z1160" s="6"/>
      <c r="AA1160" s="61"/>
    </row>
    <row r="1161" spans="1:27" ht="13.5">
      <c r="A1161" t="s">
        <v>1307</v>
      </c>
      <c r="B1161">
        <v>160768</v>
      </c>
      <c r="C1161">
        <v>164025</v>
      </c>
      <c r="D1161" s="13">
        <f t="shared" si="24"/>
        <v>34.722535982816545</v>
      </c>
      <c r="E1161" s="61" t="s">
        <v>1931</v>
      </c>
      <c r="F1161" s="65">
        <v>204.85151243543882</v>
      </c>
      <c r="G1161" s="6">
        <v>1215</v>
      </c>
      <c r="H1161" s="6">
        <v>1156</v>
      </c>
      <c r="I1161" s="65">
        <v>5.8620069584521275</v>
      </c>
      <c r="J1161" s="6">
        <f>VLOOKUP($D1161,Sheet1!$A$5:$C$192,3,TRUE)</f>
        <v>6</v>
      </c>
      <c r="K1161" s="42" t="str">
        <f>VLOOKUP($D1161,Sheet1!$A$5:$C$192,2,TRUE)</f>
        <v>(|</v>
      </c>
      <c r="L1161" s="6">
        <f>FLOOR(VLOOKUP($D1161,Sheet1!$D$5:$F$192,3,TRUE),1)</f>
        <v>15</v>
      </c>
      <c r="M1161" s="42" t="str">
        <f>VLOOKUP($D1161,Sheet1!$D$5:$F$192,2,TRUE)</f>
        <v>~|)</v>
      </c>
      <c r="N1161" s="23">
        <f>FLOOR(VLOOKUP($D1161,Sheet1!$G$5:$I$192,3,TRUE),1)</f>
        <v>18</v>
      </c>
      <c r="O1161" s="42" t="str">
        <f>VLOOKUP($D1161,Sheet1!$G$5:$I$192,2,TRUE)</f>
        <v>'(|</v>
      </c>
      <c r="P1161" s="23">
        <v>1</v>
      </c>
      <c r="Q1161" s="43" t="str">
        <f>VLOOKUP($D1161,Sheet1!$J$5:$L$192,2,TRUE)</f>
        <v>'(|.</v>
      </c>
      <c r="R1161" s="23">
        <f>FLOOR(VLOOKUP($D1161,Sheet1!$M$5:$O$192,3,TRUE),1)</f>
        <v>71</v>
      </c>
      <c r="S1161" s="42" t="str">
        <f>VLOOKUP($D1161,Sheet1!$M$5:$O$192,2,TRUE)</f>
        <v>'(|.</v>
      </c>
      <c r="T1161" s="117">
        <f>IF(ABS(D1161-VLOOKUP($D1161,Sheet1!$M$5:$T$192,8,TRUE))&lt;10^-10,"SoCA",D1161-VLOOKUP($D1161,Sheet1!$M$5:$T$192,8,TRUE))</f>
        <v>4.3560333369718762E-2</v>
      </c>
      <c r="U1161" s="109">
        <f>IF(VLOOKUP($D1161,Sheet1!$M$5:$U$192,9,TRUE)=0,"",IF(ABS(D1161-VLOOKUP($D1161,Sheet1!$M$5:$U$192,9,TRUE))&lt;10^-10,"Alt.",D1161-VLOOKUP($D1161,Sheet1!$M$5:$U$192,9,TRUE)))</f>
        <v>1.660003816728306E-2</v>
      </c>
      <c r="V1161" s="132">
        <f>$D1161-Sheet1!$M$3*$R1161</f>
        <v>8.0323836475145072E-2</v>
      </c>
      <c r="Z1161" s="6"/>
      <c r="AA1161" s="61"/>
    </row>
    <row r="1162" spans="1:27" ht="13.5">
      <c r="A1162" t="s">
        <v>1042</v>
      </c>
      <c r="B1162">
        <v>366592</v>
      </c>
      <c r="C1162">
        <v>373977</v>
      </c>
      <c r="D1162" s="13">
        <f t="shared" si="24"/>
        <v>34.52909120368183</v>
      </c>
      <c r="E1162" s="61" t="s">
        <v>1931</v>
      </c>
      <c r="F1162" s="65">
        <v>207.20943141351282</v>
      </c>
      <c r="G1162" s="6">
        <v>810</v>
      </c>
      <c r="H1162" s="6">
        <v>890</v>
      </c>
      <c r="I1162" s="65">
        <v>6.8739180582611521</v>
      </c>
      <c r="J1162" s="6">
        <f>VLOOKUP($D1162,Sheet1!$A$5:$C$192,3,TRUE)</f>
        <v>6</v>
      </c>
      <c r="K1162" s="42" t="str">
        <f>VLOOKUP($D1162,Sheet1!$A$5:$C$192,2,TRUE)</f>
        <v>(|</v>
      </c>
      <c r="L1162" s="6">
        <f>FLOOR(VLOOKUP($D1162,Sheet1!$D$5:$F$192,3,TRUE),1)</f>
        <v>15</v>
      </c>
      <c r="M1162" s="42" t="str">
        <f>VLOOKUP($D1162,Sheet1!$D$5:$F$192,2,TRUE)</f>
        <v>~|)</v>
      </c>
      <c r="N1162" s="23">
        <f>FLOOR(VLOOKUP($D1162,Sheet1!$G$5:$I$192,3,TRUE),1)</f>
        <v>18</v>
      </c>
      <c r="O1162" s="42" t="str">
        <f>VLOOKUP($D1162,Sheet1!$G$5:$I$192,2,TRUE)</f>
        <v>'(|</v>
      </c>
      <c r="P1162" s="23">
        <v>1</v>
      </c>
      <c r="Q1162" s="43" t="str">
        <f>VLOOKUP($D1162,Sheet1!$J$5:$L$192,2,TRUE)</f>
        <v>'(|.</v>
      </c>
      <c r="R1162" s="23">
        <f>FLOOR(VLOOKUP($D1162,Sheet1!$M$5:$O$192,3,TRUE),1)</f>
        <v>71</v>
      </c>
      <c r="S1162" s="42" t="str">
        <f>VLOOKUP($D1162,Sheet1!$M$5:$O$192,2,TRUE)</f>
        <v>'(|.</v>
      </c>
      <c r="T1162" s="117">
        <f>IF(ABS(D1162-VLOOKUP($D1162,Sheet1!$M$5:$T$192,8,TRUE))&lt;10^-10,"SoCA",D1162-VLOOKUP($D1162,Sheet1!$M$5:$T$192,8,TRUE))</f>
        <v>-0.1498844457649966</v>
      </c>
      <c r="U1162" s="109">
        <f>IF(VLOOKUP($D1162,Sheet1!$M$5:$U$192,9,TRUE)=0,"",IF(ABS(D1162-VLOOKUP($D1162,Sheet1!$M$5:$U$192,9,TRUE))&lt;10^-10,"Alt.",D1162-VLOOKUP($D1162,Sheet1!$M$5:$U$192,9,TRUE)))</f>
        <v>-0.1768447409674323</v>
      </c>
      <c r="V1162" s="132">
        <f>$D1162-Sheet1!$M$3*$R1162</f>
        <v>-0.11312094265957029</v>
      </c>
      <c r="Z1162" s="6"/>
      <c r="AA1162" s="61"/>
    </row>
    <row r="1163" spans="1:27" ht="13.5">
      <c r="A1163" t="s">
        <v>1036</v>
      </c>
      <c r="B1163">
        <v>4915200</v>
      </c>
      <c r="C1163">
        <v>5014657</v>
      </c>
      <c r="D1163" s="13">
        <f t="shared" si="24"/>
        <v>34.681084116021623</v>
      </c>
      <c r="E1163" s="61" t="s">
        <v>1931</v>
      </c>
      <c r="F1163" s="65">
        <v>6017600.8596942564</v>
      </c>
      <c r="G1163" s="6">
        <v>956</v>
      </c>
      <c r="H1163" s="6">
        <v>884</v>
      </c>
      <c r="I1163" s="65">
        <v>-3.1354406990919363</v>
      </c>
      <c r="J1163" s="6">
        <f>VLOOKUP($D1163,Sheet1!$A$5:$C$192,3,TRUE)</f>
        <v>6</v>
      </c>
      <c r="K1163" s="42" t="str">
        <f>VLOOKUP($D1163,Sheet1!$A$5:$C$192,2,TRUE)</f>
        <v>(|</v>
      </c>
      <c r="L1163" s="6">
        <f>FLOOR(VLOOKUP($D1163,Sheet1!$D$5:$F$192,3,TRUE),1)</f>
        <v>15</v>
      </c>
      <c r="M1163" s="42" t="str">
        <f>VLOOKUP($D1163,Sheet1!$D$5:$F$192,2,TRUE)</f>
        <v>~|)</v>
      </c>
      <c r="N1163" s="23">
        <f>FLOOR(VLOOKUP($D1163,Sheet1!$G$5:$I$192,3,TRUE),1)</f>
        <v>18</v>
      </c>
      <c r="O1163" s="42" t="str">
        <f>VLOOKUP($D1163,Sheet1!$G$5:$I$192,2,TRUE)</f>
        <v>'(|</v>
      </c>
      <c r="P1163" s="23">
        <v>1</v>
      </c>
      <c r="Q1163" s="43" t="str">
        <f>VLOOKUP($D1163,Sheet1!$J$5:$L$192,2,TRUE)</f>
        <v>'(|.</v>
      </c>
      <c r="R1163" s="23">
        <f>FLOOR(VLOOKUP($D1163,Sheet1!$M$5:$O$192,3,TRUE),1)</f>
        <v>71</v>
      </c>
      <c r="S1163" s="42" t="str">
        <f>VLOOKUP($D1163,Sheet1!$M$5:$O$192,2,TRUE)</f>
        <v>'(|.</v>
      </c>
      <c r="T1163" s="117">
        <f>IF(ABS(D1163-VLOOKUP($D1163,Sheet1!$M$5:$T$192,8,TRUE))&lt;10^-10,"SoCA",D1163-VLOOKUP($D1163,Sheet1!$M$5:$T$192,8,TRUE))</f>
        <v>2.1084665747963527E-3</v>
      </c>
      <c r="U1163" s="109">
        <f>IF(VLOOKUP($D1163,Sheet1!$M$5:$U$192,9,TRUE)=0,"",IF(ABS(D1163-VLOOKUP($D1163,Sheet1!$M$5:$U$192,9,TRUE))&lt;10^-10,"Alt.",D1163-VLOOKUP($D1163,Sheet1!$M$5:$U$192,9,TRUE)))</f>
        <v>-2.485182862763935E-2</v>
      </c>
      <c r="V1163" s="132">
        <f>$D1163-Sheet1!$M$3*$R1163</f>
        <v>3.8871969680222662E-2</v>
      </c>
      <c r="Z1163" s="6"/>
      <c r="AA1163" s="61"/>
    </row>
    <row r="1164" spans="1:27" ht="13.5">
      <c r="A1164" s="48" t="s">
        <v>139</v>
      </c>
      <c r="B1164" s="48">
        <f>7^2</f>
        <v>49</v>
      </c>
      <c r="C1164" s="48">
        <f>2*5^2</f>
        <v>50</v>
      </c>
      <c r="D1164" s="13">
        <f t="shared" si="24"/>
        <v>34.975614791419815</v>
      </c>
      <c r="E1164" s="61">
        <v>7</v>
      </c>
      <c r="F1164" s="65">
        <v>24.049039849082874</v>
      </c>
      <c r="G1164" s="6">
        <v>32</v>
      </c>
      <c r="H1164" s="6">
        <v>31</v>
      </c>
      <c r="I1164" s="65">
        <v>-2.153576025809874</v>
      </c>
      <c r="J1164" s="6">
        <f>VLOOKUP($D1164,Sheet1!$A$5:$C$192,3,TRUE)</f>
        <v>6</v>
      </c>
      <c r="K1164" s="42" t="str">
        <f>VLOOKUP($D1164,Sheet1!$A$5:$C$192,2,TRUE)</f>
        <v>(|</v>
      </c>
      <c r="L1164" s="6">
        <f>FLOOR(VLOOKUP($D1164,Sheet1!$D$5:$F$192,3,TRUE),1)</f>
        <v>15</v>
      </c>
      <c r="M1164" s="42" t="str">
        <f>VLOOKUP($D1164,Sheet1!$D$5:$F$192,2,TRUE)</f>
        <v>~|)</v>
      </c>
      <c r="N1164" s="39">
        <f>FLOOR(VLOOKUP($D1164,Sheet1!$G$5:$I$192,3,TRUE),1)</f>
        <v>18</v>
      </c>
      <c r="O1164" s="44" t="str">
        <f>VLOOKUP($D1164,Sheet1!$G$5:$I$192,2,TRUE)</f>
        <v>'(|</v>
      </c>
      <c r="P1164" s="39">
        <v>1</v>
      </c>
      <c r="Q1164" s="44" t="str">
        <f>VLOOKUP($D1164,Sheet1!$J$5:$L$192,2,TRUE)</f>
        <v>'(|</v>
      </c>
      <c r="R1164" s="39">
        <f>FLOOR(VLOOKUP($D1164,Sheet1!$M$5:$O$192,3,TRUE),1)</f>
        <v>72</v>
      </c>
      <c r="S1164" s="44" t="str">
        <f>VLOOKUP($D1164,Sheet1!$M$5:$O$192,2,TRUE)</f>
        <v>'(|</v>
      </c>
      <c r="T1164" s="118">
        <f>IF(ABS(D1164-VLOOKUP($D1164,Sheet1!$M$5:$T$192,8,TRUE))&lt;10^-10,"SoCA",D1164-VLOOKUP($D1164,Sheet1!$M$5:$T$192,8,TRUE))</f>
        <v>-0.12607702398183562</v>
      </c>
      <c r="U1164" s="118" t="str">
        <f>IF(VLOOKUP($D1164,Sheet1!$M$5:$U$192,9,TRUE)=0,"",IF(ABS(D1164-VLOOKUP($D1164,Sheet1!$M$5:$U$192,9,TRUE))&lt;10^-10,"Alt.",D1164-VLOOKUP($D1164,Sheet1!$M$5:$U$192,9,TRUE)))</f>
        <v/>
      </c>
      <c r="V1164" s="136">
        <f>$D1164-Sheet1!$M$3*$R1164</f>
        <v>-0.15451583585597461</v>
      </c>
      <c r="Z1164" s="6"/>
      <c r="AA1164" s="61"/>
    </row>
    <row r="1165" spans="1:27" ht="13.5">
      <c r="A1165" s="87" t="s">
        <v>271</v>
      </c>
      <c r="B1165" s="87">
        <f>3^5</f>
        <v>243</v>
      </c>
      <c r="C1165" s="87">
        <f>2^3*31</f>
        <v>248</v>
      </c>
      <c r="D1165" s="13">
        <f t="shared" si="24"/>
        <v>35.260568137313193</v>
      </c>
      <c r="E1165" s="61">
        <v>31</v>
      </c>
      <c r="F1165" s="65">
        <v>38.900931906519531</v>
      </c>
      <c r="G1165" s="14">
        <v>73</v>
      </c>
      <c r="H1165" s="6">
        <v>77</v>
      </c>
      <c r="I1165" s="65">
        <v>-7.1711216414580896</v>
      </c>
      <c r="J1165" s="6">
        <f>VLOOKUP($D1165,Sheet1!$A$5:$C$192,3,TRUE)</f>
        <v>7</v>
      </c>
      <c r="K1165" s="42" t="str">
        <f>VLOOKUP($D1165,Sheet1!$A$5:$C$192,2,TRUE)</f>
        <v>(|(</v>
      </c>
      <c r="L1165" s="6">
        <f>FLOOR(VLOOKUP($D1165,Sheet1!$D$5:$F$192,3,TRUE),1)</f>
        <v>15</v>
      </c>
      <c r="M1165" s="42" t="str">
        <f>VLOOKUP($D1165,Sheet1!$D$5:$F$192,2,TRUE)</f>
        <v>~|)</v>
      </c>
      <c r="N1165" s="23">
        <f>FLOOR(VLOOKUP($D1165,Sheet1!$G$5:$I$192,3,TRUE),1)</f>
        <v>18</v>
      </c>
      <c r="O1165" s="42" t="str">
        <f>VLOOKUP($D1165,Sheet1!$G$5:$I$192,2,TRUE)</f>
        <v>~|)</v>
      </c>
      <c r="P1165" s="23">
        <v>1</v>
      </c>
      <c r="Q1165" s="45" t="str">
        <f>VLOOKUP($D1165,Sheet1!$J$5:$L$192,2,TRUE)</f>
        <v>~|).</v>
      </c>
      <c r="R1165" s="38">
        <f>FLOOR(VLOOKUP($D1165,Sheet1!$M$5:$O$192,3,TRUE),1)</f>
        <v>72</v>
      </c>
      <c r="S1165" s="45" t="str">
        <f>VLOOKUP($D1165,Sheet1!$M$5:$O$192,2,TRUE)</f>
        <v>~|).</v>
      </c>
      <c r="T1165" s="108">
        <f>IF(ABS(D1165-VLOOKUP($D1165,Sheet1!$M$5:$T$192,8,TRUE))&lt;10^-10,"SoCA",D1165-VLOOKUP($D1165,Sheet1!$M$5:$T$192,8,TRUE))</f>
        <v>-1.3527769594304573E-2</v>
      </c>
      <c r="U1165" s="108">
        <f>IF(VLOOKUP($D1165,Sheet1!$M$5:$U$192,9,TRUE)=0,"",IF(ABS(D1165-VLOOKUP($D1165,Sheet1!$M$5:$U$192,9,TRUE))&lt;10^-10,"Alt.",D1165-VLOOKUP($D1165,Sheet1!$M$5:$U$192,9,TRUE)))</f>
        <v>-4.0488064796740275E-2</v>
      </c>
      <c r="V1165" s="134">
        <f>$D1165-Sheet1!$M$3*$R1165</f>
        <v>0.13043751003740311</v>
      </c>
      <c r="Z1165" s="6"/>
      <c r="AA1165" s="61"/>
    </row>
    <row r="1166" spans="1:27" ht="13.5">
      <c r="A1166" s="23" t="s">
        <v>351</v>
      </c>
      <c r="B1166" s="23">
        <f>2^3*5^4</f>
        <v>5000</v>
      </c>
      <c r="C1166" s="23">
        <f>3^6*7</f>
        <v>5103</v>
      </c>
      <c r="D1166" s="13">
        <f t="shared" si="24"/>
        <v>35.30105620211009</v>
      </c>
      <c r="E1166" s="61">
        <v>7</v>
      </c>
      <c r="F1166" s="65">
        <v>43.927201433487539</v>
      </c>
      <c r="G1166" s="6">
        <v>197</v>
      </c>
      <c r="H1166" s="6">
        <v>185</v>
      </c>
      <c r="I1166" s="65">
        <v>3.8263853608863148</v>
      </c>
      <c r="J1166" s="6">
        <f>VLOOKUP($D1166,Sheet1!$A$5:$C$192,3,TRUE)</f>
        <v>7</v>
      </c>
      <c r="K1166" s="42" t="str">
        <f>VLOOKUP($D1166,Sheet1!$A$5:$C$192,2,TRUE)</f>
        <v>(|(</v>
      </c>
      <c r="L1166" s="6">
        <f>FLOOR(VLOOKUP($D1166,Sheet1!$D$5:$F$192,3,TRUE),1)</f>
        <v>15</v>
      </c>
      <c r="M1166" s="42" t="str">
        <f>VLOOKUP($D1166,Sheet1!$D$5:$F$192,2,TRUE)</f>
        <v>~|)</v>
      </c>
      <c r="N1166" s="23">
        <f>FLOOR(VLOOKUP($D1166,Sheet1!$G$5:$I$192,3,TRUE),1)</f>
        <v>18</v>
      </c>
      <c r="O1166" s="42" t="str">
        <f>VLOOKUP($D1166,Sheet1!$G$5:$I$192,2,TRUE)</f>
        <v>~|)</v>
      </c>
      <c r="P1166" s="23">
        <v>1</v>
      </c>
      <c r="Q1166" s="43" t="str">
        <f>VLOOKUP($D1166,Sheet1!$J$5:$L$192,2,TRUE)</f>
        <v>~|).</v>
      </c>
      <c r="R1166" s="23">
        <f>FLOOR(VLOOKUP($D1166,Sheet1!$M$5:$O$192,3,TRUE),1)</f>
        <v>72</v>
      </c>
      <c r="S1166" s="43" t="str">
        <f>VLOOKUP($D1166,Sheet1!$M$5:$O$192,2,TRUE)</f>
        <v>~|).</v>
      </c>
      <c r="T1166" s="117">
        <f>IF(ABS(D1166-VLOOKUP($D1166,Sheet1!$M$5:$T$192,8,TRUE))&lt;10^-10,"SoCA",D1166-VLOOKUP($D1166,Sheet1!$M$5:$T$192,8,TRUE))</f>
        <v>2.6960295202592022E-2</v>
      </c>
      <c r="U1166" s="124" t="str">
        <f>IF(VLOOKUP($D1166,Sheet1!$M$5:$U$192,9,TRUE)=0,"",IF(ABS(D1166-VLOOKUP($D1166,Sheet1!$M$5:$U$192,9,TRUE))&lt;10^-10,"Alt.",D1166-VLOOKUP($D1166,Sheet1!$M$5:$U$192,9,TRUE)))</f>
        <v>Alt.</v>
      </c>
      <c r="V1166" s="132">
        <f>$D1166-Sheet1!$M$3*$R1166</f>
        <v>0.17092557483429971</v>
      </c>
      <c r="Z1166" s="6"/>
      <c r="AA1166" s="61"/>
    </row>
    <row r="1167" spans="1:27" ht="13.5">
      <c r="A1167" s="6" t="s">
        <v>403</v>
      </c>
      <c r="B1167" s="6">
        <f>2^11*5</f>
        <v>10240</v>
      </c>
      <c r="C1167" s="6">
        <f>3^5*43</f>
        <v>10449</v>
      </c>
      <c r="D1167" s="13">
        <f t="shared" si="24"/>
        <v>34.978996104619945</v>
      </c>
      <c r="E1167" s="61">
        <v>43</v>
      </c>
      <c r="F1167" s="65">
        <v>48.423481139096786</v>
      </c>
      <c r="G1167" s="6">
        <v>260</v>
      </c>
      <c r="H1167" s="6">
        <v>240</v>
      </c>
      <c r="I1167" s="65">
        <v>2.8462157744175993</v>
      </c>
      <c r="J1167" s="6">
        <f>VLOOKUP($D1167,Sheet1!$A$5:$C$192,3,TRUE)</f>
        <v>6</v>
      </c>
      <c r="K1167" s="42" t="str">
        <f>VLOOKUP($D1167,Sheet1!$A$5:$C$192,2,TRUE)</f>
        <v>(|</v>
      </c>
      <c r="L1167" s="6">
        <f>FLOOR(VLOOKUP($D1167,Sheet1!$D$5:$F$192,3,TRUE),1)</f>
        <v>15</v>
      </c>
      <c r="M1167" s="42" t="str">
        <f>VLOOKUP($D1167,Sheet1!$D$5:$F$192,2,TRUE)</f>
        <v>~|)</v>
      </c>
      <c r="N1167" s="23">
        <f>FLOOR(VLOOKUP($D1167,Sheet1!$G$5:$I$192,3,TRUE),1)</f>
        <v>18</v>
      </c>
      <c r="O1167" s="42" t="str">
        <f>VLOOKUP($D1167,Sheet1!$G$5:$I$192,2,TRUE)</f>
        <v>'(|</v>
      </c>
      <c r="P1167" s="23">
        <v>1</v>
      </c>
      <c r="Q1167" s="43" t="str">
        <f>VLOOKUP($D1167,Sheet1!$J$5:$L$192,2,TRUE)</f>
        <v>'(|</v>
      </c>
      <c r="R1167" s="23">
        <f>FLOOR(VLOOKUP($D1167,Sheet1!$M$5:$O$192,3,TRUE),1)</f>
        <v>72</v>
      </c>
      <c r="S1167" s="42" t="str">
        <f>VLOOKUP($D1167,Sheet1!$M$5:$O$192,2,TRUE)</f>
        <v>'(|</v>
      </c>
      <c r="T1167" s="117">
        <f>IF(ABS(D1167-VLOOKUP($D1167,Sheet1!$M$5:$T$192,8,TRUE))&lt;10^-10,"SoCA",D1167-VLOOKUP($D1167,Sheet1!$M$5:$T$192,8,TRUE))</f>
        <v>-0.12269571078170571</v>
      </c>
      <c r="U1167" s="109" t="str">
        <f>IF(VLOOKUP($D1167,Sheet1!$M$5:$U$192,9,TRUE)=0,"",IF(ABS(D1167-VLOOKUP($D1167,Sheet1!$M$5:$U$192,9,TRUE))&lt;10^-10,"Alt.",D1167-VLOOKUP($D1167,Sheet1!$M$5:$U$192,9,TRUE)))</f>
        <v/>
      </c>
      <c r="V1167" s="132">
        <f>$D1167-Sheet1!$M$3*$R1167</f>
        <v>-0.15113452265584471</v>
      </c>
      <c r="Z1167" s="6"/>
      <c r="AA1167" s="61"/>
    </row>
    <row r="1168" spans="1:27" ht="13.5">
      <c r="A1168" t="s">
        <v>1712</v>
      </c>
      <c r="B1168">
        <v>85293</v>
      </c>
      <c r="C1168">
        <v>87040</v>
      </c>
      <c r="D1168" s="13">
        <f t="shared" si="24"/>
        <v>35.101454672832183</v>
      </c>
      <c r="E1168" s="61">
        <v>17</v>
      </c>
      <c r="F1168" s="65">
        <v>55.97488244774221</v>
      </c>
      <c r="G1168" s="6">
        <v>1480</v>
      </c>
      <c r="H1168" s="6">
        <v>1561</v>
      </c>
      <c r="I1168" s="65">
        <v>-10.161324445768082</v>
      </c>
      <c r="J1168" s="6">
        <f>VLOOKUP($D1168,Sheet1!$A$5:$C$192,3,TRUE)</f>
        <v>6</v>
      </c>
      <c r="K1168" s="42" t="str">
        <f>VLOOKUP($D1168,Sheet1!$A$5:$C$192,2,TRUE)</f>
        <v>(|</v>
      </c>
      <c r="L1168" s="6">
        <f>FLOOR(VLOOKUP($D1168,Sheet1!$D$5:$F$192,3,TRUE),1)</f>
        <v>15</v>
      </c>
      <c r="M1168" s="42" t="str">
        <f>VLOOKUP($D1168,Sheet1!$D$5:$F$192,2,TRUE)</f>
        <v>~|)</v>
      </c>
      <c r="N1168" s="23">
        <f>FLOOR(VLOOKUP($D1168,Sheet1!$G$5:$I$192,3,TRUE),1)</f>
        <v>18</v>
      </c>
      <c r="O1168" s="42" t="str">
        <f>VLOOKUP($D1168,Sheet1!$G$5:$I$192,2,TRUE)</f>
        <v>'(|</v>
      </c>
      <c r="P1168" s="23">
        <v>1</v>
      </c>
      <c r="Q1168" s="43" t="str">
        <f>VLOOKUP($D1168,Sheet1!$J$5:$L$192,2,TRUE)</f>
        <v>'(|</v>
      </c>
      <c r="R1168" s="23">
        <f>FLOOR(VLOOKUP($D1168,Sheet1!$M$5:$O$192,3,TRUE),1)</f>
        <v>72</v>
      </c>
      <c r="S1168" s="42" t="str">
        <f>VLOOKUP($D1168,Sheet1!$M$5:$O$192,2,TRUE)</f>
        <v>'(|</v>
      </c>
      <c r="T1168" s="117">
        <f>IF(ABS(D1168-VLOOKUP($D1168,Sheet1!$M$5:$T$192,8,TRUE))&lt;10^-10,"SoCA",D1168-VLOOKUP($D1168,Sheet1!$M$5:$T$192,8,TRUE))</f>
        <v>-2.371425694676077E-4</v>
      </c>
      <c r="U1168" s="109" t="str">
        <f>IF(VLOOKUP($D1168,Sheet1!$M$5:$U$192,9,TRUE)=0,"",IF(ABS(D1168-VLOOKUP($D1168,Sheet1!$M$5:$U$192,9,TRUE))&lt;10^-10,"Alt.",D1168-VLOOKUP($D1168,Sheet1!$M$5:$U$192,9,TRUE)))</f>
        <v/>
      </c>
      <c r="V1168" s="132">
        <f>$D1168-Sheet1!$M$3*$R1168</f>
        <v>-2.8675954443606599E-2</v>
      </c>
      <c r="Z1168" s="6"/>
      <c r="AA1168" s="61"/>
    </row>
    <row r="1169" spans="1:27" ht="13.5">
      <c r="A1169" t="s">
        <v>1207</v>
      </c>
      <c r="B1169">
        <v>692224</v>
      </c>
      <c r="C1169">
        <v>706401</v>
      </c>
      <c r="D1169" s="13">
        <f t="shared" si="24"/>
        <v>35.098108151800716</v>
      </c>
      <c r="E1169" s="61">
        <v>19</v>
      </c>
      <c r="F1169" s="65">
        <v>63.799140619626179</v>
      </c>
      <c r="G1169" s="6">
        <v>1113</v>
      </c>
      <c r="H1169" s="6">
        <v>1056</v>
      </c>
      <c r="I1169" s="65">
        <v>4.8388816117238651</v>
      </c>
      <c r="J1169" s="6">
        <f>VLOOKUP($D1169,Sheet1!$A$5:$C$192,3,TRUE)</f>
        <v>6</v>
      </c>
      <c r="K1169" s="42" t="str">
        <f>VLOOKUP($D1169,Sheet1!$A$5:$C$192,2,TRUE)</f>
        <v>(|</v>
      </c>
      <c r="L1169" s="6">
        <f>FLOOR(VLOOKUP($D1169,Sheet1!$D$5:$F$192,3,TRUE),1)</f>
        <v>15</v>
      </c>
      <c r="M1169" s="42" t="str">
        <f>VLOOKUP($D1169,Sheet1!$D$5:$F$192,2,TRUE)</f>
        <v>~|)</v>
      </c>
      <c r="N1169" s="23">
        <f>FLOOR(VLOOKUP($D1169,Sheet1!$G$5:$I$192,3,TRUE),1)</f>
        <v>18</v>
      </c>
      <c r="O1169" s="42" t="str">
        <f>VLOOKUP($D1169,Sheet1!$G$5:$I$192,2,TRUE)</f>
        <v>'(|</v>
      </c>
      <c r="P1169" s="23">
        <v>1</v>
      </c>
      <c r="Q1169" s="43" t="str">
        <f>VLOOKUP($D1169,Sheet1!$J$5:$L$192,2,TRUE)</f>
        <v>'(|</v>
      </c>
      <c r="R1169" s="23">
        <f>FLOOR(VLOOKUP($D1169,Sheet1!$M$5:$O$192,3,TRUE),1)</f>
        <v>72</v>
      </c>
      <c r="S1169" s="42" t="str">
        <f>VLOOKUP($D1169,Sheet1!$M$5:$O$192,2,TRUE)</f>
        <v>'(|</v>
      </c>
      <c r="T1169" s="117">
        <f>IF(ABS(D1169-VLOOKUP($D1169,Sheet1!$M$5:$T$192,8,TRUE))&lt;10^-10,"SoCA",D1169-VLOOKUP($D1169,Sheet1!$M$5:$T$192,8,TRUE))</f>
        <v>-3.5836636009349832E-3</v>
      </c>
      <c r="U1169" s="109" t="str">
        <f>IF(VLOOKUP($D1169,Sheet1!$M$5:$U$192,9,TRUE)=0,"",IF(ABS(D1169-VLOOKUP($D1169,Sheet1!$M$5:$U$192,9,TRUE))&lt;10^-10,"Alt.",D1169-VLOOKUP($D1169,Sheet1!$M$5:$U$192,9,TRUE)))</f>
        <v/>
      </c>
      <c r="V1169" s="132">
        <f>$D1169-Sheet1!$M$3*$R1169</f>
        <v>-3.2022475475073975E-2</v>
      </c>
      <c r="Z1169" s="6"/>
      <c r="AA1169" s="61"/>
    </row>
    <row r="1170" spans="1:27" ht="13.5">
      <c r="A1170" s="6" t="s">
        <v>1648</v>
      </c>
      <c r="B1170" s="6">
        <f>3^7*7</f>
        <v>15309</v>
      </c>
      <c r="C1170" s="6">
        <f>5^6</f>
        <v>15625</v>
      </c>
      <c r="D1170" s="13">
        <f t="shared" si="24"/>
        <v>35.371370662171955</v>
      </c>
      <c r="E1170" s="61">
        <v>7</v>
      </c>
      <c r="F1170" s="65">
        <v>81.156444253633239</v>
      </c>
      <c r="G1170" s="6">
        <v>1557</v>
      </c>
      <c r="H1170" s="6">
        <v>1497</v>
      </c>
      <c r="I1170" s="65">
        <v>-9.1779441565892199</v>
      </c>
      <c r="J1170" s="6">
        <f>VLOOKUP($D1170,Sheet1!$A$5:$C$192,3,TRUE)</f>
        <v>7</v>
      </c>
      <c r="K1170" s="42" t="str">
        <f>VLOOKUP($D1170,Sheet1!$A$5:$C$192,2,TRUE)</f>
        <v>(|(</v>
      </c>
      <c r="L1170" s="6">
        <f>FLOOR(VLOOKUP($D1170,Sheet1!$D$5:$F$192,3,TRUE),1)</f>
        <v>15</v>
      </c>
      <c r="M1170" s="42" t="str">
        <f>VLOOKUP($D1170,Sheet1!$D$5:$F$192,2,TRUE)</f>
        <v>~|)</v>
      </c>
      <c r="N1170" s="23">
        <f>FLOOR(VLOOKUP($D1170,Sheet1!$G$5:$I$192,3,TRUE),1)</f>
        <v>18</v>
      </c>
      <c r="O1170" s="42" t="str">
        <f>VLOOKUP($D1170,Sheet1!$G$5:$I$192,2,TRUE)</f>
        <v>~|)</v>
      </c>
      <c r="P1170" s="23">
        <v>1</v>
      </c>
      <c r="Q1170" s="43" t="str">
        <f>VLOOKUP($D1170,Sheet1!$J$5:$L$192,2,TRUE)</f>
        <v>~|).</v>
      </c>
      <c r="R1170" s="23">
        <f>FLOOR(VLOOKUP($D1170,Sheet1!$M$5:$O$192,3,TRUE),1)</f>
        <v>72</v>
      </c>
      <c r="S1170" s="42" t="str">
        <f>VLOOKUP($D1170,Sheet1!$M$5:$O$192,2,TRUE)</f>
        <v>~|).</v>
      </c>
      <c r="T1170" s="117">
        <f>IF(ABS(D1170-VLOOKUP($D1170,Sheet1!$M$5:$T$192,8,TRUE))&lt;10^-10,"SoCA",D1170-VLOOKUP($D1170,Sheet1!$M$5:$T$192,8,TRUE))</f>
        <v>9.7274755264457724E-2</v>
      </c>
      <c r="U1170" s="109">
        <f>IF(VLOOKUP($D1170,Sheet1!$M$5:$U$192,9,TRUE)=0,"",IF(ABS(D1170-VLOOKUP($D1170,Sheet1!$M$5:$U$192,9,TRUE))&lt;10^-10,"Alt.",D1170-VLOOKUP($D1170,Sheet1!$M$5:$U$192,9,TRUE)))</f>
        <v>7.0314460062022022E-2</v>
      </c>
      <c r="V1170" s="132">
        <f>$D1170-Sheet1!$M$3*$R1170</f>
        <v>0.24124003489616541</v>
      </c>
      <c r="Z1170" s="6"/>
      <c r="AA1170" s="61"/>
    </row>
    <row r="1171" spans="1:27" ht="13.5">
      <c r="A1171" t="s">
        <v>1609</v>
      </c>
      <c r="B1171">
        <v>6422528</v>
      </c>
      <c r="C1171">
        <v>6554439</v>
      </c>
      <c r="D1171" s="13">
        <f t="shared" si="24"/>
        <v>35.197235335751436</v>
      </c>
      <c r="E1171" s="61">
        <v>37</v>
      </c>
      <c r="F1171" s="65">
        <v>88.659691868004529</v>
      </c>
      <c r="G1171" s="6">
        <v>1515</v>
      </c>
      <c r="H1171" s="6">
        <v>1458</v>
      </c>
      <c r="I1171" s="65">
        <v>8.8327779898680259</v>
      </c>
      <c r="J1171" s="6">
        <f>VLOOKUP($D1171,Sheet1!$A$5:$C$192,3,TRUE)</f>
        <v>7</v>
      </c>
      <c r="K1171" s="42" t="str">
        <f>VLOOKUP($D1171,Sheet1!$A$5:$C$192,2,TRUE)</f>
        <v>(|(</v>
      </c>
      <c r="L1171" s="6">
        <f>FLOOR(VLOOKUP($D1171,Sheet1!$D$5:$F$192,3,TRUE),1)</f>
        <v>15</v>
      </c>
      <c r="M1171" s="42" t="str">
        <f>VLOOKUP($D1171,Sheet1!$D$5:$F$192,2,TRUE)</f>
        <v>~|)</v>
      </c>
      <c r="N1171" s="23">
        <f>FLOOR(VLOOKUP($D1171,Sheet1!$G$5:$I$192,3,TRUE),1)</f>
        <v>18</v>
      </c>
      <c r="O1171" s="42" t="str">
        <f>VLOOKUP($D1171,Sheet1!$G$5:$I$192,2,TRUE)</f>
        <v>~|)</v>
      </c>
      <c r="P1171" s="23">
        <v>1</v>
      </c>
      <c r="Q1171" s="43" t="str">
        <f>VLOOKUP($D1171,Sheet1!$J$5:$L$192,2,TRUE)</f>
        <v>~|).</v>
      </c>
      <c r="R1171" s="23">
        <f>FLOOR(VLOOKUP($D1171,Sheet1!$M$5:$O$192,3,TRUE),1)</f>
        <v>72</v>
      </c>
      <c r="S1171" s="42" t="str">
        <f>VLOOKUP($D1171,Sheet1!$M$5:$O$192,2,TRUE)</f>
        <v>~|).</v>
      </c>
      <c r="T1171" s="117">
        <f>IF(ABS(D1171-VLOOKUP($D1171,Sheet1!$M$5:$T$192,8,TRUE))&lt;10^-10,"SoCA",D1171-VLOOKUP($D1171,Sheet1!$M$5:$T$192,8,TRUE))</f>
        <v>-7.6860571156061042E-2</v>
      </c>
      <c r="U1171" s="109">
        <f>IF(VLOOKUP($D1171,Sheet1!$M$5:$U$192,9,TRUE)=0,"",IF(ABS(D1171-VLOOKUP($D1171,Sheet1!$M$5:$U$192,9,TRUE))&lt;10^-10,"Alt.",D1171-VLOOKUP($D1171,Sheet1!$M$5:$U$192,9,TRUE)))</f>
        <v>-0.10382086635849674</v>
      </c>
      <c r="V1171" s="132">
        <f>$D1171-Sheet1!$M$3*$R1171</f>
        <v>6.7104708475646646E-2</v>
      </c>
      <c r="Z1171" s="6"/>
      <c r="AA1171" s="61"/>
    </row>
    <row r="1172" spans="1:27" ht="13.5">
      <c r="A1172" s="6" t="s">
        <v>359</v>
      </c>
      <c r="B1172" s="6">
        <v>97</v>
      </c>
      <c r="C1172" s="6">
        <f>3^2*11</f>
        <v>99</v>
      </c>
      <c r="D1172" s="13">
        <f t="shared" si="24"/>
        <v>35.332533470978206</v>
      </c>
      <c r="E1172" s="61" t="s">
        <v>1931</v>
      </c>
      <c r="F1172" s="65">
        <v>108.06659683658164</v>
      </c>
      <c r="G1172" s="6">
        <v>231</v>
      </c>
      <c r="H1172" s="6">
        <v>194</v>
      </c>
      <c r="I1172" s="65">
        <v>-0.17555280923582917</v>
      </c>
      <c r="J1172" s="6">
        <f>VLOOKUP($D1172,Sheet1!$A$5:$C$192,3,TRUE)</f>
        <v>7</v>
      </c>
      <c r="K1172" s="42" t="str">
        <f>VLOOKUP($D1172,Sheet1!$A$5:$C$192,2,TRUE)</f>
        <v>(|(</v>
      </c>
      <c r="L1172" s="6">
        <f>FLOOR(VLOOKUP($D1172,Sheet1!$D$5:$F$192,3,TRUE),1)</f>
        <v>15</v>
      </c>
      <c r="M1172" s="42" t="str">
        <f>VLOOKUP($D1172,Sheet1!$D$5:$F$192,2,TRUE)</f>
        <v>~|)</v>
      </c>
      <c r="N1172" s="23">
        <f>FLOOR(VLOOKUP($D1172,Sheet1!$G$5:$I$192,3,TRUE),1)</f>
        <v>18</v>
      </c>
      <c r="O1172" s="42" t="str">
        <f>VLOOKUP($D1172,Sheet1!$G$5:$I$192,2,TRUE)</f>
        <v>~|)</v>
      </c>
      <c r="P1172" s="23">
        <v>1</v>
      </c>
      <c r="Q1172" s="43" t="str">
        <f>VLOOKUP($D1172,Sheet1!$J$5:$L$192,2,TRUE)</f>
        <v>~|).</v>
      </c>
      <c r="R1172" s="23">
        <f>FLOOR(VLOOKUP($D1172,Sheet1!$M$5:$O$192,3,TRUE),1)</f>
        <v>72</v>
      </c>
      <c r="S1172" s="42" t="str">
        <f>VLOOKUP($D1172,Sheet1!$M$5:$O$192,2,TRUE)</f>
        <v>~|).</v>
      </c>
      <c r="T1172" s="117">
        <f>IF(ABS(D1172-VLOOKUP($D1172,Sheet1!$M$5:$T$192,8,TRUE))&lt;10^-10,"SoCA",D1172-VLOOKUP($D1172,Sheet1!$M$5:$T$192,8,TRUE))</f>
        <v>5.8437564070707992E-2</v>
      </c>
      <c r="U1172" s="109">
        <f>IF(VLOOKUP($D1172,Sheet1!$M$5:$U$192,9,TRUE)=0,"",IF(ABS(D1172-VLOOKUP($D1172,Sheet1!$M$5:$U$192,9,TRUE))&lt;10^-10,"Alt.",D1172-VLOOKUP($D1172,Sheet1!$M$5:$U$192,9,TRUE)))</f>
        <v>3.147726886827229E-2</v>
      </c>
      <c r="V1172" s="132">
        <f>$D1172-Sheet1!$M$3*$R1172</f>
        <v>0.20240284370241568</v>
      </c>
      <c r="Z1172" s="6"/>
      <c r="AA1172" s="61"/>
    </row>
    <row r="1173" spans="1:27" ht="13.5">
      <c r="A1173" t="s">
        <v>1305</v>
      </c>
      <c r="B1173">
        <v>507904</v>
      </c>
      <c r="C1173">
        <v>518319</v>
      </c>
      <c r="D1173" s="13">
        <f t="shared" si="24"/>
        <v>35.141332271372704</v>
      </c>
      <c r="E1173" s="61" t="s">
        <v>1931</v>
      </c>
      <c r="F1173" s="65">
        <v>114.0810880104503</v>
      </c>
      <c r="G1173" s="6">
        <v>1213</v>
      </c>
      <c r="H1173" s="6">
        <v>1154</v>
      </c>
      <c r="I1173" s="65">
        <v>5.8362201452077773</v>
      </c>
      <c r="J1173" s="6">
        <f>VLOOKUP($D1173,Sheet1!$A$5:$C$192,3,TRUE)</f>
        <v>7</v>
      </c>
      <c r="K1173" s="42" t="str">
        <f>VLOOKUP($D1173,Sheet1!$A$5:$C$192,2,TRUE)</f>
        <v>(|(</v>
      </c>
      <c r="L1173" s="6">
        <f>FLOOR(VLOOKUP($D1173,Sheet1!$D$5:$F$192,3,TRUE),1)</f>
        <v>15</v>
      </c>
      <c r="M1173" s="42" t="str">
        <f>VLOOKUP($D1173,Sheet1!$D$5:$F$192,2,TRUE)</f>
        <v>~|)</v>
      </c>
      <c r="N1173" s="23">
        <f>FLOOR(VLOOKUP($D1173,Sheet1!$G$5:$I$192,3,TRUE),1)</f>
        <v>18</v>
      </c>
      <c r="O1173" s="42" t="str">
        <f>VLOOKUP($D1173,Sheet1!$G$5:$I$192,2,TRUE)</f>
        <v>~|)</v>
      </c>
      <c r="P1173" s="23">
        <v>1</v>
      </c>
      <c r="Q1173" s="43" t="str">
        <f>VLOOKUP($D1173,Sheet1!$J$5:$L$192,2,TRUE)</f>
        <v>~|).</v>
      </c>
      <c r="R1173" s="23">
        <f>FLOOR(VLOOKUP($D1173,Sheet1!$M$5:$O$192,3,TRUE),1)</f>
        <v>72</v>
      </c>
      <c r="S1173" s="42" t="str">
        <f>VLOOKUP($D1173,Sheet1!$M$5:$O$192,2,TRUE)</f>
        <v>~|).</v>
      </c>
      <c r="T1173" s="117">
        <f>IF(ABS(D1173-VLOOKUP($D1173,Sheet1!$M$5:$T$192,8,TRUE))&lt;10^-10,"SoCA",D1173-VLOOKUP($D1173,Sheet1!$M$5:$T$192,8,TRUE))</f>
        <v>-0.13276363553479342</v>
      </c>
      <c r="U1173" s="109">
        <f>IF(VLOOKUP($D1173,Sheet1!$M$5:$U$192,9,TRUE)=0,"",IF(ABS(D1173-VLOOKUP($D1173,Sheet1!$M$5:$U$192,9,TRUE))&lt;10^-10,"Alt.",D1173-VLOOKUP($D1173,Sheet1!$M$5:$U$192,9,TRUE)))</f>
        <v>-0.15972393073722913</v>
      </c>
      <c r="V1173" s="132">
        <f>$D1173-Sheet1!$M$3*$R1173</f>
        <v>1.1201644096914265E-2</v>
      </c>
      <c r="Z1173" s="6"/>
      <c r="AA1173" s="61"/>
    </row>
    <row r="1174" spans="1:27" ht="13.5">
      <c r="A1174" s="6" t="s">
        <v>372</v>
      </c>
      <c r="B1174" s="6">
        <f>2^2*61</f>
        <v>244</v>
      </c>
      <c r="C1174" s="6">
        <f>3*83</f>
        <v>249</v>
      </c>
      <c r="D1174" s="13">
        <f t="shared" si="24"/>
        <v>35.117513406233542</v>
      </c>
      <c r="E1174" s="61" t="s">
        <v>1931</v>
      </c>
      <c r="F1174" s="65">
        <v>144.05833996306615</v>
      </c>
      <c r="G1174" s="6">
        <v>239</v>
      </c>
      <c r="H1174" s="6">
        <v>207</v>
      </c>
      <c r="I1174" s="65">
        <v>-1.1623132404887548</v>
      </c>
      <c r="J1174" s="6">
        <f>VLOOKUP($D1174,Sheet1!$A$5:$C$192,3,TRUE)</f>
        <v>6</v>
      </c>
      <c r="K1174" s="42" t="str">
        <f>VLOOKUP($D1174,Sheet1!$A$5:$C$192,2,TRUE)</f>
        <v>(|</v>
      </c>
      <c r="L1174" s="6">
        <f>FLOOR(VLOOKUP($D1174,Sheet1!$D$5:$F$192,3,TRUE),1)</f>
        <v>15</v>
      </c>
      <c r="M1174" s="42" t="str">
        <f>VLOOKUP($D1174,Sheet1!$D$5:$F$192,2,TRUE)</f>
        <v>~|)</v>
      </c>
      <c r="N1174" s="23">
        <f>FLOOR(VLOOKUP($D1174,Sheet1!$G$5:$I$192,3,TRUE),1)</f>
        <v>18</v>
      </c>
      <c r="O1174" s="42" t="str">
        <f>VLOOKUP($D1174,Sheet1!$G$5:$I$192,2,TRUE)</f>
        <v>'(|</v>
      </c>
      <c r="P1174" s="23">
        <v>1</v>
      </c>
      <c r="Q1174" s="43" t="str">
        <f>VLOOKUP($D1174,Sheet1!$J$5:$L$192,2,TRUE)</f>
        <v>'(|</v>
      </c>
      <c r="R1174" s="23">
        <f>FLOOR(VLOOKUP($D1174,Sheet1!$M$5:$O$192,3,TRUE),1)</f>
        <v>72</v>
      </c>
      <c r="S1174" s="42" t="str">
        <f>VLOOKUP($D1174,Sheet1!$M$5:$O$192,2,TRUE)</f>
        <v>'(|</v>
      </c>
      <c r="T1174" s="117">
        <f>IF(ABS(D1174-VLOOKUP($D1174,Sheet1!$M$5:$T$192,8,TRUE))&lt;10^-10,"SoCA",D1174-VLOOKUP($D1174,Sheet1!$M$5:$T$192,8,TRUE))</f>
        <v>1.582159083189083E-2</v>
      </c>
      <c r="U1174" s="109" t="str">
        <f>IF(VLOOKUP($D1174,Sheet1!$M$5:$U$192,9,TRUE)=0,"",IF(ABS(D1174-VLOOKUP($D1174,Sheet1!$M$5:$U$192,9,TRUE))&lt;10^-10,"Alt.",D1174-VLOOKUP($D1174,Sheet1!$M$5:$U$192,9,TRUE)))</f>
        <v/>
      </c>
      <c r="V1174" s="132">
        <f>$D1174-Sheet1!$M$3*$R1174</f>
        <v>-1.2617221042248161E-2</v>
      </c>
      <c r="Z1174" s="6"/>
      <c r="AA1174" s="61"/>
    </row>
    <row r="1175" spans="1:27" ht="13.5">
      <c r="A1175" t="s">
        <v>1234</v>
      </c>
      <c r="B1175">
        <v>2719744</v>
      </c>
      <c r="C1175">
        <v>2775303</v>
      </c>
      <c r="D1175" s="13">
        <f t="shared" si="24"/>
        <v>35.009313050729325</v>
      </c>
      <c r="E1175" s="61" t="s">
        <v>1931</v>
      </c>
      <c r="F1175" s="65">
        <v>146.91019838654776</v>
      </c>
      <c r="G1175" s="6">
        <v>1014</v>
      </c>
      <c r="H1175" s="6">
        <v>1083</v>
      </c>
      <c r="I1175" s="65">
        <v>7.8443490495949968</v>
      </c>
      <c r="J1175" s="6">
        <f>VLOOKUP($D1175,Sheet1!$A$5:$C$192,3,TRUE)</f>
        <v>6</v>
      </c>
      <c r="K1175" s="42" t="str">
        <f>VLOOKUP($D1175,Sheet1!$A$5:$C$192,2,TRUE)</f>
        <v>(|</v>
      </c>
      <c r="L1175" s="6">
        <f>FLOOR(VLOOKUP($D1175,Sheet1!$D$5:$F$192,3,TRUE),1)</f>
        <v>15</v>
      </c>
      <c r="M1175" s="42" t="str">
        <f>VLOOKUP($D1175,Sheet1!$D$5:$F$192,2,TRUE)</f>
        <v>~|)</v>
      </c>
      <c r="N1175" s="23">
        <f>FLOOR(VLOOKUP($D1175,Sheet1!$G$5:$I$192,3,TRUE),1)</f>
        <v>18</v>
      </c>
      <c r="O1175" s="42" t="str">
        <f>VLOOKUP($D1175,Sheet1!$G$5:$I$192,2,TRUE)</f>
        <v>'(|</v>
      </c>
      <c r="P1175" s="23">
        <v>1</v>
      </c>
      <c r="Q1175" s="43" t="str">
        <f>VLOOKUP($D1175,Sheet1!$J$5:$L$192,2,TRUE)</f>
        <v>'(|</v>
      </c>
      <c r="R1175" s="23">
        <f>FLOOR(VLOOKUP($D1175,Sheet1!$M$5:$O$192,3,TRUE),1)</f>
        <v>72</v>
      </c>
      <c r="S1175" s="42" t="str">
        <f>VLOOKUP($D1175,Sheet1!$M$5:$O$192,2,TRUE)</f>
        <v>'(|</v>
      </c>
      <c r="T1175" s="117">
        <f>IF(ABS(D1175-VLOOKUP($D1175,Sheet1!$M$5:$T$192,8,TRUE))&lt;10^-10,"SoCA",D1175-VLOOKUP($D1175,Sheet1!$M$5:$T$192,8,TRUE))</f>
        <v>-9.2378764672325531E-2</v>
      </c>
      <c r="U1175" s="109" t="str">
        <f>IF(VLOOKUP($D1175,Sheet1!$M$5:$U$192,9,TRUE)=0,"",IF(ABS(D1175-VLOOKUP($D1175,Sheet1!$M$5:$U$192,9,TRUE))&lt;10^-10,"Alt.",D1175-VLOOKUP($D1175,Sheet1!$M$5:$U$192,9,TRUE)))</f>
        <v/>
      </c>
      <c r="V1175" s="132">
        <f>$D1175-Sheet1!$M$3*$R1175</f>
        <v>-0.12081757654646452</v>
      </c>
      <c r="Z1175" s="6"/>
      <c r="AA1175" s="61"/>
    </row>
    <row r="1176" spans="1:27" ht="13.5">
      <c r="A1176" t="s">
        <v>1498</v>
      </c>
      <c r="B1176">
        <v>57856</v>
      </c>
      <c r="C1176">
        <v>59049</v>
      </c>
      <c r="D1176" s="13">
        <f t="shared" si="24"/>
        <v>35.335253755648971</v>
      </c>
      <c r="E1176" s="61" t="s">
        <v>1931</v>
      </c>
      <c r="F1176" s="65">
        <v>151.99111516909147</v>
      </c>
      <c r="G1176" s="6">
        <v>1409</v>
      </c>
      <c r="H1176" s="6">
        <v>1347</v>
      </c>
      <c r="I1176" s="65">
        <v>7.8242796929264555</v>
      </c>
      <c r="J1176" s="6">
        <f>VLOOKUP($D1176,Sheet1!$A$5:$C$192,3,TRUE)</f>
        <v>7</v>
      </c>
      <c r="K1176" s="42" t="str">
        <f>VLOOKUP($D1176,Sheet1!$A$5:$C$192,2,TRUE)</f>
        <v>(|(</v>
      </c>
      <c r="L1176" s="6">
        <f>FLOOR(VLOOKUP($D1176,Sheet1!$D$5:$F$192,3,TRUE),1)</f>
        <v>15</v>
      </c>
      <c r="M1176" s="42" t="str">
        <f>VLOOKUP($D1176,Sheet1!$D$5:$F$192,2,TRUE)</f>
        <v>~|)</v>
      </c>
      <c r="N1176" s="23">
        <f>FLOOR(VLOOKUP($D1176,Sheet1!$G$5:$I$192,3,TRUE),1)</f>
        <v>18</v>
      </c>
      <c r="O1176" s="42" t="str">
        <f>VLOOKUP($D1176,Sheet1!$G$5:$I$192,2,TRUE)</f>
        <v>~|)</v>
      </c>
      <c r="P1176" s="23">
        <v>1</v>
      </c>
      <c r="Q1176" s="43" t="str">
        <f>VLOOKUP($D1176,Sheet1!$J$5:$L$192,2,TRUE)</f>
        <v>~|).</v>
      </c>
      <c r="R1176" s="23">
        <f>FLOOR(VLOOKUP($D1176,Sheet1!$M$5:$O$192,3,TRUE),1)</f>
        <v>72</v>
      </c>
      <c r="S1176" s="42" t="str">
        <f>VLOOKUP($D1176,Sheet1!$M$5:$O$192,2,TRUE)</f>
        <v>~|).</v>
      </c>
      <c r="T1176" s="117">
        <f>IF(ABS(D1176-VLOOKUP($D1176,Sheet1!$M$5:$T$192,8,TRUE))&lt;10^-10,"SoCA",D1176-VLOOKUP($D1176,Sheet1!$M$5:$T$192,8,TRUE))</f>
        <v>6.1157848741473231E-2</v>
      </c>
      <c r="U1176" s="109">
        <f>IF(VLOOKUP($D1176,Sheet1!$M$5:$U$192,9,TRUE)=0,"",IF(ABS(D1176-VLOOKUP($D1176,Sheet1!$M$5:$U$192,9,TRUE))&lt;10^-10,"Alt.",D1176-VLOOKUP($D1176,Sheet1!$M$5:$U$192,9,TRUE)))</f>
        <v>3.4197553539037528E-2</v>
      </c>
      <c r="V1176" s="132">
        <f>$D1176-Sheet1!$M$3*$R1176</f>
        <v>0.20512312837318092</v>
      </c>
      <c r="Z1176" s="6"/>
      <c r="AA1176" s="61"/>
    </row>
    <row r="1177" spans="1:27" ht="13.5">
      <c r="A1177" t="s">
        <v>1236</v>
      </c>
      <c r="B1177">
        <v>526153617</v>
      </c>
      <c r="C1177">
        <v>536870912</v>
      </c>
      <c r="D1177" s="13">
        <f t="shared" si="24"/>
        <v>34.909400850540671</v>
      </c>
      <c r="E1177" s="61">
        <v>11</v>
      </c>
      <c r="F1177" s="65">
        <v>185.32492819274125</v>
      </c>
      <c r="G1177" s="6">
        <v>1146</v>
      </c>
      <c r="H1177" s="6">
        <v>1085</v>
      </c>
      <c r="I1177" s="65">
        <v>-5.1494989922394243</v>
      </c>
      <c r="J1177" s="6">
        <f>VLOOKUP($D1177,Sheet1!$A$5:$C$192,3,TRUE)</f>
        <v>6</v>
      </c>
      <c r="K1177" s="42" t="str">
        <f>VLOOKUP($D1177,Sheet1!$A$5:$C$192,2,TRUE)</f>
        <v>(|</v>
      </c>
      <c r="L1177" s="6">
        <f>FLOOR(VLOOKUP($D1177,Sheet1!$D$5:$F$192,3,TRUE),1)</f>
        <v>15</v>
      </c>
      <c r="M1177" s="42" t="str">
        <f>VLOOKUP($D1177,Sheet1!$D$5:$F$192,2,TRUE)</f>
        <v>~|)</v>
      </c>
      <c r="N1177" s="23">
        <f>FLOOR(VLOOKUP($D1177,Sheet1!$G$5:$I$192,3,TRUE),1)</f>
        <v>18</v>
      </c>
      <c r="O1177" s="42" t="str">
        <f>VLOOKUP($D1177,Sheet1!$G$5:$I$192,2,TRUE)</f>
        <v>'(|</v>
      </c>
      <c r="P1177" s="23">
        <v>1</v>
      </c>
      <c r="Q1177" s="43" t="str">
        <f>VLOOKUP($D1177,Sheet1!$J$5:$L$192,2,TRUE)</f>
        <v>'(|</v>
      </c>
      <c r="R1177" s="23">
        <f>FLOOR(VLOOKUP($D1177,Sheet1!$M$5:$O$192,3,TRUE),1)</f>
        <v>72</v>
      </c>
      <c r="S1177" s="42" t="str">
        <f>VLOOKUP($D1177,Sheet1!$M$5:$O$192,2,TRUE)</f>
        <v>'(|</v>
      </c>
      <c r="T1177" s="117">
        <f>IF(ABS(D1177-VLOOKUP($D1177,Sheet1!$M$5:$T$192,8,TRUE))&lt;10^-10,"SoCA",D1177-VLOOKUP($D1177,Sheet1!$M$5:$T$192,8,TRUE))</f>
        <v>-0.1922909648609803</v>
      </c>
      <c r="U1177" s="109" t="str">
        <f>IF(VLOOKUP($D1177,Sheet1!$M$5:$U$192,9,TRUE)=0,"",IF(ABS(D1177-VLOOKUP($D1177,Sheet1!$M$5:$U$192,9,TRUE))&lt;10^-10,"Alt.",D1177-VLOOKUP($D1177,Sheet1!$M$5:$U$192,9,TRUE)))</f>
        <v/>
      </c>
      <c r="V1177" s="132">
        <f>$D1177-Sheet1!$M$3*$R1177</f>
        <v>-0.22072977673511929</v>
      </c>
      <c r="Z1177" s="6"/>
      <c r="AA1177" s="61"/>
    </row>
    <row r="1178" spans="1:27" ht="13.5">
      <c r="A1178" t="s">
        <v>949</v>
      </c>
      <c r="B1178">
        <v>146</v>
      </c>
      <c r="C1178">
        <v>149</v>
      </c>
      <c r="D1178" s="13">
        <f t="shared" si="24"/>
        <v>35.212753898573354</v>
      </c>
      <c r="E1178" s="61" t="s">
        <v>1931</v>
      </c>
      <c r="F1178" s="65">
        <v>222.08213093439372</v>
      </c>
      <c r="G1178" s="6">
        <v>859</v>
      </c>
      <c r="H1178" s="6">
        <v>797</v>
      </c>
      <c r="I1178" s="65">
        <v>-2.1681775445821216</v>
      </c>
      <c r="J1178" s="6">
        <f>VLOOKUP($D1178,Sheet1!$A$5:$C$192,3,TRUE)</f>
        <v>7</v>
      </c>
      <c r="K1178" s="42" t="str">
        <f>VLOOKUP($D1178,Sheet1!$A$5:$C$192,2,TRUE)</f>
        <v>(|(</v>
      </c>
      <c r="L1178" s="6">
        <f>FLOOR(VLOOKUP($D1178,Sheet1!$D$5:$F$192,3,TRUE),1)</f>
        <v>15</v>
      </c>
      <c r="M1178" s="42" t="str">
        <f>VLOOKUP($D1178,Sheet1!$D$5:$F$192,2,TRUE)</f>
        <v>~|)</v>
      </c>
      <c r="N1178" s="23">
        <f>FLOOR(VLOOKUP($D1178,Sheet1!$G$5:$I$192,3,TRUE),1)</f>
        <v>18</v>
      </c>
      <c r="O1178" s="42" t="str">
        <f>VLOOKUP($D1178,Sheet1!$G$5:$I$192,2,TRUE)</f>
        <v>~|)</v>
      </c>
      <c r="P1178" s="23">
        <v>1</v>
      </c>
      <c r="Q1178" s="43" t="str">
        <f>VLOOKUP($D1178,Sheet1!$J$5:$L$192,2,TRUE)</f>
        <v>~|).</v>
      </c>
      <c r="R1178" s="23">
        <f>FLOOR(VLOOKUP($D1178,Sheet1!$M$5:$O$192,3,TRUE),1)</f>
        <v>72</v>
      </c>
      <c r="S1178" s="42" t="str">
        <f>VLOOKUP($D1178,Sheet1!$M$5:$O$192,2,TRUE)</f>
        <v>~|).</v>
      </c>
      <c r="T1178" s="117">
        <f>IF(ABS(D1178-VLOOKUP($D1178,Sheet1!$M$5:$T$192,8,TRUE))&lt;10^-10,"SoCA",D1178-VLOOKUP($D1178,Sheet1!$M$5:$T$192,8,TRUE))</f>
        <v>-6.1342008334143827E-2</v>
      </c>
      <c r="U1178" s="109">
        <f>IF(VLOOKUP($D1178,Sheet1!$M$5:$U$192,9,TRUE)=0,"",IF(ABS(D1178-VLOOKUP($D1178,Sheet1!$M$5:$U$192,9,TRUE))&lt;10^-10,"Alt.",D1178-VLOOKUP($D1178,Sheet1!$M$5:$U$192,9,TRUE)))</f>
        <v>-8.8302303536579529E-2</v>
      </c>
      <c r="V1178" s="132">
        <f>$D1178-Sheet1!$M$3*$R1178</f>
        <v>8.2623271297563861E-2</v>
      </c>
      <c r="Z1178" s="6"/>
      <c r="AA1178" s="61"/>
    </row>
    <row r="1179" spans="1:27" ht="13.5">
      <c r="A1179" t="s">
        <v>1711</v>
      </c>
      <c r="B1179">
        <v>24715287</v>
      </c>
      <c r="C1179">
        <v>25219072</v>
      </c>
      <c r="D1179" s="13">
        <f t="shared" si="24"/>
        <v>34.933835398134789</v>
      </c>
      <c r="E1179" s="61" t="s">
        <v>1931</v>
      </c>
      <c r="F1179" s="65">
        <v>4765.8610867721536</v>
      </c>
      <c r="G1179" s="6">
        <v>1477</v>
      </c>
      <c r="H1179" s="6">
        <v>1560</v>
      </c>
      <c r="I1179" s="65">
        <v>-10.151003516354699</v>
      </c>
      <c r="J1179" s="6">
        <f>VLOOKUP($D1179,Sheet1!$A$5:$C$192,3,TRUE)</f>
        <v>6</v>
      </c>
      <c r="K1179" s="42" t="str">
        <f>VLOOKUP($D1179,Sheet1!$A$5:$C$192,2,TRUE)</f>
        <v>(|</v>
      </c>
      <c r="L1179" s="6">
        <f>FLOOR(VLOOKUP($D1179,Sheet1!$D$5:$F$192,3,TRUE),1)</f>
        <v>15</v>
      </c>
      <c r="M1179" s="42" t="str">
        <f>VLOOKUP($D1179,Sheet1!$D$5:$F$192,2,TRUE)</f>
        <v>~|)</v>
      </c>
      <c r="N1179" s="23">
        <f>FLOOR(VLOOKUP($D1179,Sheet1!$G$5:$I$192,3,TRUE),1)</f>
        <v>18</v>
      </c>
      <c r="O1179" s="42" t="str">
        <f>VLOOKUP($D1179,Sheet1!$G$5:$I$192,2,TRUE)</f>
        <v>'(|</v>
      </c>
      <c r="P1179" s="23">
        <v>1</v>
      </c>
      <c r="Q1179" s="43" t="str">
        <f>VLOOKUP($D1179,Sheet1!$J$5:$L$192,2,TRUE)</f>
        <v>'(|</v>
      </c>
      <c r="R1179" s="23">
        <f>FLOOR(VLOOKUP($D1179,Sheet1!$M$5:$O$192,3,TRUE),1)</f>
        <v>72</v>
      </c>
      <c r="S1179" s="42" t="str">
        <f>VLOOKUP($D1179,Sheet1!$M$5:$O$192,2,TRUE)</f>
        <v>'(|</v>
      </c>
      <c r="T1179" s="117">
        <f>IF(ABS(D1179-VLOOKUP($D1179,Sheet1!$M$5:$T$192,8,TRUE))&lt;10^-10,"SoCA",D1179-VLOOKUP($D1179,Sheet1!$M$5:$T$192,8,TRUE))</f>
        <v>-0.16785641726686151</v>
      </c>
      <c r="U1179" s="109" t="str">
        <f>IF(VLOOKUP($D1179,Sheet1!$M$5:$U$192,9,TRUE)=0,"",IF(ABS(D1179-VLOOKUP($D1179,Sheet1!$M$5:$U$192,9,TRUE))&lt;10^-10,"Alt.",D1179-VLOOKUP($D1179,Sheet1!$M$5:$U$192,9,TRUE)))</f>
        <v/>
      </c>
      <c r="V1179" s="132">
        <f>$D1179-Sheet1!$M$3*$R1179</f>
        <v>-0.1962952291410005</v>
      </c>
      <c r="Z1179" s="6"/>
      <c r="AA1179" s="61"/>
    </row>
    <row r="1180" spans="1:27" ht="13.5">
      <c r="A1180" t="s">
        <v>1011</v>
      </c>
      <c r="B1180">
        <v>1533184</v>
      </c>
      <c r="C1180">
        <v>1564677</v>
      </c>
      <c r="D1180" s="13">
        <f t="shared" si="24"/>
        <v>35.20082551866966</v>
      </c>
      <c r="E1180" s="61" t="s">
        <v>1931</v>
      </c>
      <c r="F1180" s="65">
        <v>7408.5432113347024</v>
      </c>
      <c r="G1180" s="6">
        <v>927</v>
      </c>
      <c r="H1180" s="6">
        <v>859</v>
      </c>
      <c r="I1180" s="65">
        <v>2.8325569292260027</v>
      </c>
      <c r="J1180" s="6">
        <f>VLOOKUP($D1180,Sheet1!$A$5:$C$192,3,TRUE)</f>
        <v>7</v>
      </c>
      <c r="K1180" s="42" t="str">
        <f>VLOOKUP($D1180,Sheet1!$A$5:$C$192,2,TRUE)</f>
        <v>(|(</v>
      </c>
      <c r="L1180" s="6">
        <f>FLOOR(VLOOKUP($D1180,Sheet1!$D$5:$F$192,3,TRUE),1)</f>
        <v>15</v>
      </c>
      <c r="M1180" s="42" t="str">
        <f>VLOOKUP($D1180,Sheet1!$D$5:$F$192,2,TRUE)</f>
        <v>~|)</v>
      </c>
      <c r="N1180" s="23">
        <f>FLOOR(VLOOKUP($D1180,Sheet1!$G$5:$I$192,3,TRUE),1)</f>
        <v>18</v>
      </c>
      <c r="O1180" s="42" t="str">
        <f>VLOOKUP($D1180,Sheet1!$G$5:$I$192,2,TRUE)</f>
        <v>~|)</v>
      </c>
      <c r="P1180" s="23">
        <v>1</v>
      </c>
      <c r="Q1180" s="43" t="str">
        <f>VLOOKUP($D1180,Sheet1!$J$5:$L$192,2,TRUE)</f>
        <v>~|).</v>
      </c>
      <c r="R1180" s="23">
        <f>FLOOR(VLOOKUP($D1180,Sheet1!$M$5:$O$192,3,TRUE),1)</f>
        <v>72</v>
      </c>
      <c r="S1180" s="42" t="str">
        <f>VLOOKUP($D1180,Sheet1!$M$5:$O$192,2,TRUE)</f>
        <v>~|).</v>
      </c>
      <c r="T1180" s="117">
        <f>IF(ABS(D1180-VLOOKUP($D1180,Sheet1!$M$5:$T$192,8,TRUE))&lt;10^-10,"SoCA",D1180-VLOOKUP($D1180,Sheet1!$M$5:$T$192,8,TRUE))</f>
        <v>-7.3270388237837381E-2</v>
      </c>
      <c r="U1180" s="109">
        <f>IF(VLOOKUP($D1180,Sheet1!$M$5:$U$192,9,TRUE)=0,"",IF(ABS(D1180-VLOOKUP($D1180,Sheet1!$M$5:$U$192,9,TRUE))&lt;10^-10,"Alt.",D1180-VLOOKUP($D1180,Sheet1!$M$5:$U$192,9,TRUE)))</f>
        <v>-0.10023068344027308</v>
      </c>
      <c r="V1180" s="132">
        <f>$D1180-Sheet1!$M$3*$R1180</f>
        <v>7.0694891393870307E-2</v>
      </c>
      <c r="Z1180" s="6"/>
      <c r="AA1180" s="61"/>
    </row>
    <row r="1181" spans="1:27" ht="13.5">
      <c r="A1181" s="33" t="s">
        <v>141</v>
      </c>
      <c r="B1181" s="33">
        <f>2^4*3</f>
        <v>48</v>
      </c>
      <c r="C1181" s="33">
        <f>7^2</f>
        <v>49</v>
      </c>
      <c r="D1181" s="51">
        <f t="shared" si="24"/>
        <v>35.696812072862322</v>
      </c>
      <c r="E1181" s="61">
        <v>7</v>
      </c>
      <c r="F1181" s="65">
        <v>19.685594506777324</v>
      </c>
      <c r="G1181" s="60">
        <v>15</v>
      </c>
      <c r="H1181" s="60">
        <v>16</v>
      </c>
      <c r="I1181" s="65">
        <v>-3.1979827698930361</v>
      </c>
      <c r="J1181" s="6">
        <f>VLOOKUP($D1181,Sheet1!$A$5:$C$192,3,TRUE)</f>
        <v>7</v>
      </c>
      <c r="K1181" s="42" t="str">
        <f>VLOOKUP($D1181,Sheet1!$A$5:$C$192,2,TRUE)</f>
        <v>(|(</v>
      </c>
      <c r="L1181" s="34">
        <f>FLOOR(VLOOKUP($D1181,Sheet1!$D$5:$F$192,3,TRUE),1)</f>
        <v>15</v>
      </c>
      <c r="M1181" s="41" t="str">
        <f>VLOOKUP($D1181,Sheet1!$D$5:$F$192,2,TRUE)</f>
        <v>~|)</v>
      </c>
      <c r="N1181" s="34">
        <f>FLOOR(VLOOKUP($D1181,Sheet1!$G$5:$I$192,3,TRUE),1)</f>
        <v>18</v>
      </c>
      <c r="O1181" s="41" t="str">
        <f>VLOOKUP($D1181,Sheet1!$G$5:$I$192,2,TRUE)</f>
        <v>~|)</v>
      </c>
      <c r="P1181" s="34">
        <v>1</v>
      </c>
      <c r="Q1181" s="41" t="str">
        <f>VLOOKUP($D1181,Sheet1!$J$5:$L$192,2,TRUE)</f>
        <v>~|)</v>
      </c>
      <c r="R1181" s="34">
        <f>FLOOR(VLOOKUP($D1181,Sheet1!$M$5:$O$192,3,TRUE),1)</f>
        <v>73</v>
      </c>
      <c r="S1181" s="41" t="str">
        <f>VLOOKUP($D1181,Sheet1!$M$5:$O$192,2,TRUE)</f>
        <v>~|)</v>
      </c>
      <c r="T1181" s="114" t="str">
        <f>IF(ABS(D1181-VLOOKUP($D1181,Sheet1!$M$5:$T$192,8,TRUE))&lt;10^-10,"SoCA",D1181-VLOOKUP($D1181,Sheet1!$M$5:$T$192,8,TRUE))</f>
        <v>SoCA</v>
      </c>
      <c r="U1181" s="126" t="str">
        <f>IF(VLOOKUP($D1181,Sheet1!$M$5:$U$192,9,TRUE)=0,"",IF(ABS(D1181-VLOOKUP($D1181,Sheet1!$M$5:$U$192,9,TRUE))&lt;10^-10,"Alt.",D1181-VLOOKUP($D1181,Sheet1!$M$5:$U$192,9,TRUE)))</f>
        <v/>
      </c>
      <c r="V1181" s="137">
        <f>$D1181-Sheet1!$M$3*$R1181</f>
        <v>7.8762964652149492E-2</v>
      </c>
      <c r="Z1181" s="6"/>
      <c r="AA1181" s="61"/>
    </row>
    <row r="1182" spans="1:27" ht="13.5">
      <c r="A1182" s="23" t="s">
        <v>668</v>
      </c>
      <c r="B1182" s="23">
        <f>3*11*19</f>
        <v>627</v>
      </c>
      <c r="C1182" s="23">
        <f>2^7*5</f>
        <v>640</v>
      </c>
      <c r="D1182" s="13">
        <f t="shared" si="24"/>
        <v>35.527754502387971</v>
      </c>
      <c r="E1182" s="61">
        <v>19</v>
      </c>
      <c r="F1182" s="65">
        <v>42.1108171257452</v>
      </c>
      <c r="G1182" s="6">
        <v>558</v>
      </c>
      <c r="H1182" s="6">
        <v>513</v>
      </c>
      <c r="I1182" s="65">
        <v>-3.1875732793686682</v>
      </c>
      <c r="J1182" s="6">
        <f>VLOOKUP($D1182,Sheet1!$A$5:$C$192,3,TRUE)</f>
        <v>7</v>
      </c>
      <c r="K1182" s="42" t="str">
        <f>VLOOKUP($D1182,Sheet1!$A$5:$C$192,2,TRUE)</f>
        <v>(|(</v>
      </c>
      <c r="L1182" s="6">
        <f>FLOOR(VLOOKUP($D1182,Sheet1!$D$5:$F$192,3,TRUE),1)</f>
        <v>15</v>
      </c>
      <c r="M1182" s="42" t="str">
        <f>VLOOKUP($D1182,Sheet1!$D$5:$F$192,2,TRUE)</f>
        <v>~|)</v>
      </c>
      <c r="N1182" s="23">
        <f>FLOOR(VLOOKUP($D1182,Sheet1!$G$5:$I$192,3,TRUE),1)</f>
        <v>18</v>
      </c>
      <c r="O1182" s="42" t="str">
        <f>VLOOKUP($D1182,Sheet1!$G$5:$I$192,2,TRUE)</f>
        <v>~|)</v>
      </c>
      <c r="P1182" s="23">
        <v>1</v>
      </c>
      <c r="Q1182" s="43" t="str">
        <f>VLOOKUP($D1182,Sheet1!$J$5:$L$192,2,TRUE)</f>
        <v>~|)</v>
      </c>
      <c r="R1182" s="23">
        <f>FLOOR(VLOOKUP($D1182,Sheet1!$M$5:$O$192,3,TRUE),1)</f>
        <v>73</v>
      </c>
      <c r="S1182" s="43" t="str">
        <f>VLOOKUP($D1182,Sheet1!$M$5:$O$192,2,TRUE)</f>
        <v>~|)</v>
      </c>
      <c r="T1182" s="117">
        <f>IF(ABS(D1182-VLOOKUP($D1182,Sheet1!$M$5:$T$192,8,TRUE))&lt;10^-10,"SoCA",D1182-VLOOKUP($D1182,Sheet1!$M$5:$T$192,8,TRUE))</f>
        <v>-0.16905757047435088</v>
      </c>
      <c r="U1182" s="117" t="str">
        <f>IF(VLOOKUP($D1182,Sheet1!$M$5:$U$192,9,TRUE)=0,"",IF(ABS(D1182-VLOOKUP($D1182,Sheet1!$M$5:$U$192,9,TRUE))&lt;10^-10,"Alt.",D1182-VLOOKUP($D1182,Sheet1!$M$5:$U$192,9,TRUE)))</f>
        <v/>
      </c>
      <c r="V1182" s="132">
        <f>$D1182-Sheet1!$M$3*$R1182</f>
        <v>-9.029460582220139E-2</v>
      </c>
      <c r="Z1182" s="6"/>
      <c r="AA1182" s="61"/>
    </row>
    <row r="1183" spans="1:27" ht="13.5">
      <c r="A1183" t="s">
        <v>527</v>
      </c>
      <c r="B1183">
        <v>139264</v>
      </c>
      <c r="C1183">
        <v>142155</v>
      </c>
      <c r="D1183" s="13">
        <f t="shared" si="24"/>
        <v>35.570972191450224</v>
      </c>
      <c r="E1183" s="61">
        <v>17</v>
      </c>
      <c r="F1183" s="65">
        <v>43.556386998909609</v>
      </c>
      <c r="G1183" s="6">
        <v>394</v>
      </c>
      <c r="H1183" s="6">
        <v>370</v>
      </c>
      <c r="I1183" s="65">
        <v>4.8097656500651551</v>
      </c>
      <c r="J1183" s="6">
        <f>VLOOKUP($D1183,Sheet1!$A$5:$C$192,3,TRUE)</f>
        <v>7</v>
      </c>
      <c r="K1183" s="42" t="str">
        <f>VLOOKUP($D1183,Sheet1!$A$5:$C$192,2,TRUE)</f>
        <v>(|(</v>
      </c>
      <c r="L1183" s="6">
        <f>FLOOR(VLOOKUP($D1183,Sheet1!$D$5:$F$192,3,TRUE),1)</f>
        <v>15</v>
      </c>
      <c r="M1183" s="42" t="str">
        <f>VLOOKUP($D1183,Sheet1!$D$5:$F$192,2,TRUE)</f>
        <v>~|)</v>
      </c>
      <c r="N1183" s="23">
        <f>FLOOR(VLOOKUP($D1183,Sheet1!$G$5:$I$192,3,TRUE),1)</f>
        <v>18</v>
      </c>
      <c r="O1183" s="42" t="str">
        <f>VLOOKUP($D1183,Sheet1!$G$5:$I$192,2,TRUE)</f>
        <v>~|)</v>
      </c>
      <c r="P1183" s="23">
        <v>1</v>
      </c>
      <c r="Q1183" s="43" t="str">
        <f>VLOOKUP($D1183,Sheet1!$J$5:$L$192,2,TRUE)</f>
        <v>~|)</v>
      </c>
      <c r="R1183" s="23">
        <f>FLOOR(VLOOKUP($D1183,Sheet1!$M$5:$O$192,3,TRUE),1)</f>
        <v>73</v>
      </c>
      <c r="S1183" s="42" t="str">
        <f>VLOOKUP($D1183,Sheet1!$M$5:$O$192,2,TRUE)</f>
        <v>~|)</v>
      </c>
      <c r="T1183" s="117">
        <f>IF(ABS(D1183-VLOOKUP($D1183,Sheet1!$M$5:$T$192,8,TRUE))&lt;10^-10,"SoCA",D1183-VLOOKUP($D1183,Sheet1!$M$5:$T$192,8,TRUE))</f>
        <v>-0.12583988141209801</v>
      </c>
      <c r="U1183" s="109" t="str">
        <f>IF(VLOOKUP($D1183,Sheet1!$M$5:$U$192,9,TRUE)=0,"",IF(ABS(D1183-VLOOKUP($D1183,Sheet1!$M$5:$U$192,9,TRUE))&lt;10^-10,"Alt.",D1183-VLOOKUP($D1183,Sheet1!$M$5:$U$192,9,TRUE)))</f>
        <v/>
      </c>
      <c r="V1183" s="132">
        <f>$D1183-Sheet1!$M$3*$R1183</f>
        <v>-4.7076916759948517E-2</v>
      </c>
      <c r="Z1183" s="6"/>
      <c r="AA1183" s="61"/>
    </row>
    <row r="1184" spans="1:27" ht="13.5">
      <c r="A1184" t="s">
        <v>915</v>
      </c>
      <c r="B1184">
        <v>1984</v>
      </c>
      <c r="C1184">
        <v>2025</v>
      </c>
      <c r="D1184" s="13">
        <f t="shared" si="24"/>
        <v>35.411858726969193</v>
      </c>
      <c r="E1184" s="61">
        <v>31</v>
      </c>
      <c r="F1184" s="65">
        <v>49.402893432568241</v>
      </c>
      <c r="G1184" s="6">
        <v>823</v>
      </c>
      <c r="H1184" s="6">
        <v>763</v>
      </c>
      <c r="I1184" s="65">
        <v>1.819562845755164</v>
      </c>
      <c r="J1184" s="6">
        <f>VLOOKUP($D1184,Sheet1!$A$5:$C$192,3,TRUE)</f>
        <v>7</v>
      </c>
      <c r="K1184" s="42" t="str">
        <f>VLOOKUP($D1184,Sheet1!$A$5:$C$192,2,TRUE)</f>
        <v>(|(</v>
      </c>
      <c r="L1184" s="6">
        <f>FLOOR(VLOOKUP($D1184,Sheet1!$D$5:$F$192,3,TRUE),1)</f>
        <v>15</v>
      </c>
      <c r="M1184" s="42" t="str">
        <f>VLOOKUP($D1184,Sheet1!$D$5:$F$192,2,TRUE)</f>
        <v>~|)</v>
      </c>
      <c r="N1184" s="23">
        <f>FLOOR(VLOOKUP($D1184,Sheet1!$G$5:$I$192,3,TRUE),1)</f>
        <v>18</v>
      </c>
      <c r="O1184" s="42" t="str">
        <f>VLOOKUP($D1184,Sheet1!$G$5:$I$192,2,TRUE)</f>
        <v>~|)</v>
      </c>
      <c r="P1184" s="23">
        <v>1</v>
      </c>
      <c r="Q1184" s="43" t="str">
        <f>VLOOKUP($D1184,Sheet1!$J$5:$L$192,2,TRUE)</f>
        <v>~|)</v>
      </c>
      <c r="R1184" s="23">
        <f>FLOOR(VLOOKUP($D1184,Sheet1!$M$5:$O$192,3,TRUE),1)</f>
        <v>73</v>
      </c>
      <c r="S1184" s="42" t="str">
        <f>VLOOKUP($D1184,Sheet1!$M$5:$O$192,2,TRUE)</f>
        <v>~|)</v>
      </c>
      <c r="T1184" s="117">
        <f>IF(ABS(D1184-VLOOKUP($D1184,Sheet1!$M$5:$T$192,8,TRUE))&lt;10^-10,"SoCA",D1184-VLOOKUP($D1184,Sheet1!$M$5:$T$192,8,TRUE))</f>
        <v>-0.28495334589312904</v>
      </c>
      <c r="U1184" s="109" t="str">
        <f>IF(VLOOKUP($D1184,Sheet1!$M$5:$U$192,9,TRUE)=0,"",IF(ABS(D1184-VLOOKUP($D1184,Sheet1!$M$5:$U$192,9,TRUE))&lt;10^-10,"Alt.",D1184-VLOOKUP($D1184,Sheet1!$M$5:$U$192,9,TRUE)))</f>
        <v/>
      </c>
      <c r="V1184" s="132">
        <f>$D1184-Sheet1!$M$3*$R1184</f>
        <v>-0.20619038124097955</v>
      </c>
      <c r="Z1184" s="6"/>
      <c r="AA1184" s="61"/>
    </row>
    <row r="1185" spans="1:27" ht="13.5">
      <c r="A1185" t="s">
        <v>839</v>
      </c>
      <c r="B1185">
        <v>338</v>
      </c>
      <c r="C1185">
        <v>345</v>
      </c>
      <c r="D1185" s="13">
        <f t="shared" si="24"/>
        <v>35.487738460016487</v>
      </c>
      <c r="E1185" s="61">
        <v>23</v>
      </c>
      <c r="F1185" s="65">
        <v>54.04751860687589</v>
      </c>
      <c r="G1185" s="6">
        <v>761</v>
      </c>
      <c r="H1185" s="6">
        <v>686</v>
      </c>
      <c r="I1185" s="65">
        <v>-1.1851093458534763</v>
      </c>
      <c r="J1185" s="6">
        <f>VLOOKUP($D1185,Sheet1!$A$5:$C$192,3,TRUE)</f>
        <v>7</v>
      </c>
      <c r="K1185" s="42" t="str">
        <f>VLOOKUP($D1185,Sheet1!$A$5:$C$192,2,TRUE)</f>
        <v>(|(</v>
      </c>
      <c r="L1185" s="6">
        <f>FLOOR(VLOOKUP($D1185,Sheet1!$D$5:$F$192,3,TRUE),1)</f>
        <v>15</v>
      </c>
      <c r="M1185" s="42" t="str">
        <f>VLOOKUP($D1185,Sheet1!$D$5:$F$192,2,TRUE)</f>
        <v>~|)</v>
      </c>
      <c r="N1185" s="23">
        <f>FLOOR(VLOOKUP($D1185,Sheet1!$G$5:$I$192,3,TRUE),1)</f>
        <v>18</v>
      </c>
      <c r="O1185" s="42" t="str">
        <f>VLOOKUP($D1185,Sheet1!$G$5:$I$192,2,TRUE)</f>
        <v>~|)</v>
      </c>
      <c r="P1185" s="23">
        <v>1</v>
      </c>
      <c r="Q1185" s="43" t="str">
        <f>VLOOKUP($D1185,Sheet1!$J$5:$L$192,2,TRUE)</f>
        <v>~|)</v>
      </c>
      <c r="R1185" s="23">
        <f>FLOOR(VLOOKUP($D1185,Sheet1!$M$5:$O$192,3,TRUE),1)</f>
        <v>73</v>
      </c>
      <c r="S1185" s="42" t="str">
        <f>VLOOKUP($D1185,Sheet1!$M$5:$O$192,2,TRUE)</f>
        <v>~|)</v>
      </c>
      <c r="T1185" s="117">
        <f>IF(ABS(D1185-VLOOKUP($D1185,Sheet1!$M$5:$T$192,8,TRUE))&lt;10^-10,"SoCA",D1185-VLOOKUP($D1185,Sheet1!$M$5:$T$192,8,TRUE))</f>
        <v>-0.20907361284583459</v>
      </c>
      <c r="U1185" s="109" t="str">
        <f>IF(VLOOKUP($D1185,Sheet1!$M$5:$U$192,9,TRUE)=0,"",IF(ABS(D1185-VLOOKUP($D1185,Sheet1!$M$5:$U$192,9,TRUE))&lt;10^-10,"Alt.",D1185-VLOOKUP($D1185,Sheet1!$M$5:$U$192,9,TRUE)))</f>
        <v/>
      </c>
      <c r="V1185" s="132">
        <f>$D1185-Sheet1!$M$3*$R1185</f>
        <v>-0.1303106481936851</v>
      </c>
      <c r="Z1185" s="6"/>
      <c r="AA1185" s="61"/>
    </row>
    <row r="1186" spans="1:27" ht="13.5">
      <c r="A1186" t="s">
        <v>1342</v>
      </c>
      <c r="B1186">
        <v>10125</v>
      </c>
      <c r="C1186">
        <v>10336</v>
      </c>
      <c r="D1186" s="13">
        <f t="shared" si="24"/>
        <v>35.707280576655705</v>
      </c>
      <c r="E1186" s="61">
        <v>19</v>
      </c>
      <c r="F1186" s="65">
        <v>62.18091684156051</v>
      </c>
      <c r="G1186" s="6">
        <v>1254</v>
      </c>
      <c r="H1186" s="6">
        <v>1191</v>
      </c>
      <c r="I1186" s="65">
        <v>-6.19862735381043</v>
      </c>
      <c r="J1186" s="6">
        <f>VLOOKUP($D1186,Sheet1!$A$5:$C$192,3,TRUE)</f>
        <v>7</v>
      </c>
      <c r="K1186" s="42" t="str">
        <f>VLOOKUP($D1186,Sheet1!$A$5:$C$192,2,TRUE)</f>
        <v>(|(</v>
      </c>
      <c r="L1186" s="6">
        <f>FLOOR(VLOOKUP($D1186,Sheet1!$D$5:$F$192,3,TRUE),1)</f>
        <v>15</v>
      </c>
      <c r="M1186" s="42" t="str">
        <f>VLOOKUP($D1186,Sheet1!$D$5:$F$192,2,TRUE)</f>
        <v>~|)</v>
      </c>
      <c r="N1186" s="23">
        <f>FLOOR(VLOOKUP($D1186,Sheet1!$G$5:$I$192,3,TRUE),1)</f>
        <v>18</v>
      </c>
      <c r="O1186" s="42" t="str">
        <f>VLOOKUP($D1186,Sheet1!$G$5:$I$192,2,TRUE)</f>
        <v>~|)</v>
      </c>
      <c r="P1186" s="23">
        <v>1</v>
      </c>
      <c r="Q1186" s="43" t="str">
        <f>VLOOKUP($D1186,Sheet1!$J$5:$L$192,2,TRUE)</f>
        <v>~|)</v>
      </c>
      <c r="R1186" s="23">
        <f>FLOOR(VLOOKUP($D1186,Sheet1!$M$5:$O$192,3,TRUE),1)</f>
        <v>73</v>
      </c>
      <c r="S1186" s="42" t="str">
        <f>VLOOKUP($D1186,Sheet1!$M$5:$O$192,2,TRUE)</f>
        <v>~|)</v>
      </c>
      <c r="T1186" s="117">
        <f>IF(ABS(D1186-VLOOKUP($D1186,Sheet1!$M$5:$T$192,8,TRUE))&lt;10^-10,"SoCA",D1186-VLOOKUP($D1186,Sheet1!$M$5:$T$192,8,TRUE))</f>
        <v>1.0468503793383377E-2</v>
      </c>
      <c r="U1186" s="109" t="str">
        <f>IF(VLOOKUP($D1186,Sheet1!$M$5:$U$192,9,TRUE)=0,"",IF(ABS(D1186-VLOOKUP($D1186,Sheet1!$M$5:$U$192,9,TRUE))&lt;10^-10,"Alt.",D1186-VLOOKUP($D1186,Sheet1!$M$5:$U$192,9,TRUE)))</f>
        <v/>
      </c>
      <c r="V1186" s="132">
        <f>$D1186-Sheet1!$M$3*$R1186</f>
        <v>8.9231468445532869E-2</v>
      </c>
      <c r="Z1186" s="6"/>
      <c r="AA1186" s="61"/>
    </row>
    <row r="1187" spans="1:27" ht="13.5">
      <c r="A1187" t="s">
        <v>1111</v>
      </c>
      <c r="B1187">
        <v>13568</v>
      </c>
      <c r="C1187">
        <v>13851</v>
      </c>
      <c r="D1187" s="13">
        <f t="shared" si="24"/>
        <v>35.738475848788106</v>
      </c>
      <c r="E1187" s="61" t="s">
        <v>1931</v>
      </c>
      <c r="F1187" s="65">
        <v>72.926386925986975</v>
      </c>
      <c r="G1187" s="6">
        <v>1024</v>
      </c>
      <c r="H1187" s="6">
        <v>960</v>
      </c>
      <c r="I1187" s="65">
        <v>3.7994518396338135</v>
      </c>
      <c r="J1187" s="6">
        <f>VLOOKUP($D1187,Sheet1!$A$5:$C$192,3,TRUE)</f>
        <v>7</v>
      </c>
      <c r="K1187" s="42" t="str">
        <f>VLOOKUP($D1187,Sheet1!$A$5:$C$192,2,TRUE)</f>
        <v>(|(</v>
      </c>
      <c r="L1187" s="6">
        <f>FLOOR(VLOOKUP($D1187,Sheet1!$D$5:$F$192,3,TRUE),1)</f>
        <v>15</v>
      </c>
      <c r="M1187" s="42" t="str">
        <f>VLOOKUP($D1187,Sheet1!$D$5:$F$192,2,TRUE)</f>
        <v>~|)</v>
      </c>
      <c r="N1187" s="23">
        <f>FLOOR(VLOOKUP($D1187,Sheet1!$G$5:$I$192,3,TRUE),1)</f>
        <v>18</v>
      </c>
      <c r="O1187" s="42" t="str">
        <f>VLOOKUP($D1187,Sheet1!$G$5:$I$192,2,TRUE)</f>
        <v>~|)</v>
      </c>
      <c r="P1187" s="23">
        <v>1</v>
      </c>
      <c r="Q1187" s="43" t="str">
        <f>VLOOKUP($D1187,Sheet1!$J$5:$L$192,2,TRUE)</f>
        <v>~|)</v>
      </c>
      <c r="R1187" s="23">
        <f>FLOOR(VLOOKUP($D1187,Sheet1!$M$5:$O$192,3,TRUE),1)</f>
        <v>73</v>
      </c>
      <c r="S1187" s="42" t="str">
        <f>VLOOKUP($D1187,Sheet1!$M$5:$O$192,2,TRUE)</f>
        <v>~|)</v>
      </c>
      <c r="T1187" s="117">
        <f>IF(ABS(D1187-VLOOKUP($D1187,Sheet1!$M$5:$T$192,8,TRUE))&lt;10^-10,"SoCA",D1187-VLOOKUP($D1187,Sheet1!$M$5:$T$192,8,TRUE))</f>
        <v>4.1663775925783852E-2</v>
      </c>
      <c r="U1187" s="109" t="str">
        <f>IF(VLOOKUP($D1187,Sheet1!$M$5:$U$192,9,TRUE)=0,"",IF(ABS(D1187-VLOOKUP($D1187,Sheet1!$M$5:$U$192,9,TRUE))&lt;10^-10,"Alt.",D1187-VLOOKUP($D1187,Sheet1!$M$5:$U$192,9,TRUE)))</f>
        <v/>
      </c>
      <c r="V1187" s="132">
        <f>$D1187-Sheet1!$M$3*$R1187</f>
        <v>0.12042674057793334</v>
      </c>
      <c r="Z1187" s="6"/>
      <c r="AA1187" s="61"/>
    </row>
    <row r="1188" spans="1:27" ht="13.5">
      <c r="A1188" t="s">
        <v>1304</v>
      </c>
      <c r="B1188">
        <v>536870912</v>
      </c>
      <c r="C1188">
        <v>547981281</v>
      </c>
      <c r="D1188" s="13">
        <f t="shared" si="24"/>
        <v>35.461644924728503</v>
      </c>
      <c r="E1188" s="61">
        <v>17</v>
      </c>
      <c r="F1188" s="65">
        <v>126.06547301531053</v>
      </c>
      <c r="G1188" s="6">
        <v>1212</v>
      </c>
      <c r="H1188" s="6">
        <v>1153</v>
      </c>
      <c r="I1188" s="65">
        <v>5.81649732817813</v>
      </c>
      <c r="J1188" s="6">
        <f>VLOOKUP($D1188,Sheet1!$A$5:$C$192,3,TRUE)</f>
        <v>7</v>
      </c>
      <c r="K1188" s="42" t="str">
        <f>VLOOKUP($D1188,Sheet1!$A$5:$C$192,2,TRUE)</f>
        <v>(|(</v>
      </c>
      <c r="L1188" s="6">
        <f>FLOOR(VLOOKUP($D1188,Sheet1!$D$5:$F$192,3,TRUE),1)</f>
        <v>15</v>
      </c>
      <c r="M1188" s="42" t="str">
        <f>VLOOKUP($D1188,Sheet1!$D$5:$F$192,2,TRUE)</f>
        <v>~|)</v>
      </c>
      <c r="N1188" s="23">
        <f>FLOOR(VLOOKUP($D1188,Sheet1!$G$5:$I$192,3,TRUE),1)</f>
        <v>18</v>
      </c>
      <c r="O1188" s="42" t="str">
        <f>VLOOKUP($D1188,Sheet1!$G$5:$I$192,2,TRUE)</f>
        <v>~|)</v>
      </c>
      <c r="P1188" s="23">
        <v>1</v>
      </c>
      <c r="Q1188" s="43" t="str">
        <f>VLOOKUP($D1188,Sheet1!$J$5:$L$192,2,TRUE)</f>
        <v>~|)</v>
      </c>
      <c r="R1188" s="23">
        <f>FLOOR(VLOOKUP($D1188,Sheet1!$M$5:$O$192,3,TRUE),1)</f>
        <v>73</v>
      </c>
      <c r="S1188" s="42" t="str">
        <f>VLOOKUP($D1188,Sheet1!$M$5:$O$192,2,TRUE)</f>
        <v>~|)</v>
      </c>
      <c r="T1188" s="117">
        <f>IF(ABS(D1188-VLOOKUP($D1188,Sheet1!$M$5:$T$192,8,TRUE))&lt;10^-10,"SoCA",D1188-VLOOKUP($D1188,Sheet1!$M$5:$T$192,8,TRUE))</f>
        <v>-0.23516714813381867</v>
      </c>
      <c r="U1188" s="109" t="str">
        <f>IF(VLOOKUP($D1188,Sheet1!$M$5:$U$192,9,TRUE)=0,"",IF(ABS(D1188-VLOOKUP($D1188,Sheet1!$M$5:$U$192,9,TRUE))&lt;10^-10,"Alt.",D1188-VLOOKUP($D1188,Sheet1!$M$5:$U$192,9,TRUE)))</f>
        <v/>
      </c>
      <c r="V1188" s="132">
        <f>$D1188-Sheet1!$M$3*$R1188</f>
        <v>-0.15640418348166918</v>
      </c>
      <c r="Z1188" s="6"/>
      <c r="AA1188" s="61"/>
    </row>
    <row r="1189" spans="1:27" ht="13.5">
      <c r="A1189" t="s">
        <v>912</v>
      </c>
      <c r="B1189">
        <v>4194304</v>
      </c>
      <c r="C1189">
        <v>4281255</v>
      </c>
      <c r="D1189" s="13">
        <f t="shared" si="24"/>
        <v>35.522804619641697</v>
      </c>
      <c r="E1189" s="61">
        <v>31</v>
      </c>
      <c r="F1189" s="65">
        <v>140.6361813539003</v>
      </c>
      <c r="G1189" s="6">
        <v>820</v>
      </c>
      <c r="H1189" s="6">
        <v>760</v>
      </c>
      <c r="I1189" s="65">
        <v>1.8127315029454247</v>
      </c>
      <c r="J1189" s="6">
        <f>VLOOKUP($D1189,Sheet1!$A$5:$C$192,3,TRUE)</f>
        <v>7</v>
      </c>
      <c r="K1189" s="42" t="str">
        <f>VLOOKUP($D1189,Sheet1!$A$5:$C$192,2,TRUE)</f>
        <v>(|(</v>
      </c>
      <c r="L1189" s="6">
        <f>FLOOR(VLOOKUP($D1189,Sheet1!$D$5:$F$192,3,TRUE),1)</f>
        <v>15</v>
      </c>
      <c r="M1189" s="42" t="str">
        <f>VLOOKUP($D1189,Sheet1!$D$5:$F$192,2,TRUE)</f>
        <v>~|)</v>
      </c>
      <c r="N1189" s="23">
        <f>FLOOR(VLOOKUP($D1189,Sheet1!$G$5:$I$192,3,TRUE),1)</f>
        <v>18</v>
      </c>
      <c r="O1189" s="42" t="str">
        <f>VLOOKUP($D1189,Sheet1!$G$5:$I$192,2,TRUE)</f>
        <v>~|)</v>
      </c>
      <c r="P1189" s="23">
        <v>1</v>
      </c>
      <c r="Q1189" s="43" t="str">
        <f>VLOOKUP($D1189,Sheet1!$J$5:$L$192,2,TRUE)</f>
        <v>~|)</v>
      </c>
      <c r="R1189" s="23">
        <f>FLOOR(VLOOKUP($D1189,Sheet1!$M$5:$O$192,3,TRUE),1)</f>
        <v>73</v>
      </c>
      <c r="S1189" s="42" t="str">
        <f>VLOOKUP($D1189,Sheet1!$M$5:$O$192,2,TRUE)</f>
        <v>~|)</v>
      </c>
      <c r="T1189" s="117">
        <f>IF(ABS(D1189-VLOOKUP($D1189,Sheet1!$M$5:$T$192,8,TRUE))&lt;10^-10,"SoCA",D1189-VLOOKUP($D1189,Sheet1!$M$5:$T$192,8,TRUE))</f>
        <v>-0.17400745322062505</v>
      </c>
      <c r="U1189" s="109" t="str">
        <f>IF(VLOOKUP($D1189,Sheet1!$M$5:$U$192,9,TRUE)=0,"",IF(ABS(D1189-VLOOKUP($D1189,Sheet1!$M$5:$U$192,9,TRUE))&lt;10^-10,"Alt.",D1189-VLOOKUP($D1189,Sheet1!$M$5:$U$192,9,TRUE)))</f>
        <v/>
      </c>
      <c r="V1189" s="132">
        <f>$D1189-Sheet1!$M$3*$R1189</f>
        <v>-9.524448856847556E-2</v>
      </c>
      <c r="Z1189" s="6"/>
      <c r="AA1189" s="61"/>
    </row>
    <row r="1190" spans="1:27" ht="13.5">
      <c r="A1190" t="s">
        <v>1088</v>
      </c>
      <c r="B1190">
        <v>12320768</v>
      </c>
      <c r="C1190">
        <v>12577437</v>
      </c>
      <c r="D1190" s="13">
        <f t="shared" si="24"/>
        <v>35.694930911715169</v>
      </c>
      <c r="E1190" s="61" t="s">
        <v>1931</v>
      </c>
      <c r="F1190" s="65">
        <v>150.98495773047139</v>
      </c>
      <c r="G1190" s="6">
        <v>632</v>
      </c>
      <c r="H1190" s="6">
        <v>937</v>
      </c>
      <c r="I1190" s="65">
        <v>8.8021330600522383</v>
      </c>
      <c r="J1190" s="6">
        <f>VLOOKUP($D1190,Sheet1!$A$5:$C$192,3,TRUE)</f>
        <v>7</v>
      </c>
      <c r="K1190" s="42" t="str">
        <f>VLOOKUP($D1190,Sheet1!$A$5:$C$192,2,TRUE)</f>
        <v>(|(</v>
      </c>
      <c r="L1190" s="6">
        <f>FLOOR(VLOOKUP($D1190,Sheet1!$D$5:$F$192,3,TRUE),1)</f>
        <v>15</v>
      </c>
      <c r="M1190" s="42" t="str">
        <f>VLOOKUP($D1190,Sheet1!$D$5:$F$192,2,TRUE)</f>
        <v>~|)</v>
      </c>
      <c r="N1190" s="23">
        <f>FLOOR(VLOOKUP($D1190,Sheet1!$G$5:$I$192,3,TRUE),1)</f>
        <v>18</v>
      </c>
      <c r="O1190" s="42" t="str">
        <f>VLOOKUP($D1190,Sheet1!$G$5:$I$192,2,TRUE)</f>
        <v>~|)</v>
      </c>
      <c r="P1190" s="23">
        <v>1</v>
      </c>
      <c r="Q1190" s="43" t="str">
        <f>VLOOKUP($D1190,Sheet1!$J$5:$L$192,2,TRUE)</f>
        <v>~|)</v>
      </c>
      <c r="R1190" s="23">
        <f>FLOOR(VLOOKUP($D1190,Sheet1!$M$5:$O$192,3,TRUE),1)</f>
        <v>73</v>
      </c>
      <c r="S1190" s="42" t="str">
        <f>VLOOKUP($D1190,Sheet1!$M$5:$O$192,2,TRUE)</f>
        <v>~|)</v>
      </c>
      <c r="T1190" s="117">
        <f>IF(ABS(D1190-VLOOKUP($D1190,Sheet1!$M$5:$T$192,8,TRUE))&lt;10^-10,"SoCA",D1190-VLOOKUP($D1190,Sheet1!$M$5:$T$192,8,TRUE))</f>
        <v>-1.8811611471534206E-3</v>
      </c>
      <c r="U1190" s="109" t="str">
        <f>IF(VLOOKUP($D1190,Sheet1!$M$5:$U$192,9,TRUE)=0,"",IF(ABS(D1190-VLOOKUP($D1190,Sheet1!$M$5:$U$192,9,TRUE))&lt;10^-10,"Alt.",D1190-VLOOKUP($D1190,Sheet1!$M$5:$U$192,9,TRUE)))</f>
        <v/>
      </c>
      <c r="V1190" s="132">
        <f>$D1190-Sheet1!$M$3*$R1190</f>
        <v>7.6881803504996071E-2</v>
      </c>
      <c r="Z1190" s="6"/>
      <c r="AA1190" s="61"/>
    </row>
    <row r="1191" spans="1:27" ht="13.5">
      <c r="A1191" t="s">
        <v>1496</v>
      </c>
      <c r="B1191">
        <v>54675</v>
      </c>
      <c r="C1191">
        <v>55808</v>
      </c>
      <c r="D1191" s="13">
        <f t="shared" si="24"/>
        <v>35.508755944930051</v>
      </c>
      <c r="E1191" s="61" t="s">
        <v>1931</v>
      </c>
      <c r="F1191" s="65">
        <v>152.21327418630665</v>
      </c>
      <c r="G1191" s="6">
        <v>1273</v>
      </c>
      <c r="H1191" s="6">
        <v>1345</v>
      </c>
      <c r="I1191" s="65">
        <v>-9.1864034689704717</v>
      </c>
      <c r="J1191" s="6">
        <f>VLOOKUP($D1191,Sheet1!$A$5:$C$192,3,TRUE)</f>
        <v>7</v>
      </c>
      <c r="K1191" s="42" t="str">
        <f>VLOOKUP($D1191,Sheet1!$A$5:$C$192,2,TRUE)</f>
        <v>(|(</v>
      </c>
      <c r="L1191" s="6">
        <f>FLOOR(VLOOKUP($D1191,Sheet1!$D$5:$F$192,3,TRUE),1)</f>
        <v>15</v>
      </c>
      <c r="M1191" s="42" t="str">
        <f>VLOOKUP($D1191,Sheet1!$D$5:$F$192,2,TRUE)</f>
        <v>~|)</v>
      </c>
      <c r="N1191" s="23">
        <f>FLOOR(VLOOKUP($D1191,Sheet1!$G$5:$I$192,3,TRUE),1)</f>
        <v>18</v>
      </c>
      <c r="O1191" s="42" t="str">
        <f>VLOOKUP($D1191,Sheet1!$G$5:$I$192,2,TRUE)</f>
        <v>~|)</v>
      </c>
      <c r="P1191" s="23">
        <v>1</v>
      </c>
      <c r="Q1191" s="43" t="str">
        <f>VLOOKUP($D1191,Sheet1!$J$5:$L$192,2,TRUE)</f>
        <v>~|)</v>
      </c>
      <c r="R1191" s="23">
        <f>FLOOR(VLOOKUP($D1191,Sheet1!$M$5:$O$192,3,TRUE),1)</f>
        <v>73</v>
      </c>
      <c r="S1191" s="42" t="str">
        <f>VLOOKUP($D1191,Sheet1!$M$5:$O$192,2,TRUE)</f>
        <v>~|)</v>
      </c>
      <c r="T1191" s="117">
        <f>IF(ABS(D1191-VLOOKUP($D1191,Sheet1!$M$5:$T$192,8,TRUE))&lt;10^-10,"SoCA",D1191-VLOOKUP($D1191,Sheet1!$M$5:$T$192,8,TRUE))</f>
        <v>-0.18805612793227056</v>
      </c>
      <c r="U1191" s="109" t="str">
        <f>IF(VLOOKUP($D1191,Sheet1!$M$5:$U$192,9,TRUE)=0,"",IF(ABS(D1191-VLOOKUP($D1191,Sheet1!$M$5:$U$192,9,TRUE))&lt;10^-10,"Alt.",D1191-VLOOKUP($D1191,Sheet1!$M$5:$U$192,9,TRUE)))</f>
        <v/>
      </c>
      <c r="V1191" s="132">
        <f>$D1191-Sheet1!$M$3*$R1191</f>
        <v>-0.10929316328012106</v>
      </c>
      <c r="Z1191" s="6"/>
      <c r="AA1191" s="61"/>
    </row>
    <row r="1192" spans="1:27" ht="13.5">
      <c r="A1192" t="s">
        <v>909</v>
      </c>
      <c r="B1192">
        <v>17536</v>
      </c>
      <c r="C1192">
        <v>17901</v>
      </c>
      <c r="D1192" s="13">
        <f t="shared" si="24"/>
        <v>35.66457517863563</v>
      </c>
      <c r="E1192" s="61" t="s">
        <v>1931</v>
      </c>
      <c r="F1192" s="65">
        <v>200.67618968761911</v>
      </c>
      <c r="G1192" s="6">
        <v>816</v>
      </c>
      <c r="H1192" s="6">
        <v>757</v>
      </c>
      <c r="I1192" s="65">
        <v>1.8040021731299012</v>
      </c>
      <c r="J1192" s="6">
        <f>VLOOKUP($D1192,Sheet1!$A$5:$C$192,3,TRUE)</f>
        <v>7</v>
      </c>
      <c r="K1192" s="42" t="str">
        <f>VLOOKUP($D1192,Sheet1!$A$5:$C$192,2,TRUE)</f>
        <v>(|(</v>
      </c>
      <c r="L1192" s="6">
        <f>FLOOR(VLOOKUP($D1192,Sheet1!$D$5:$F$192,3,TRUE),1)</f>
        <v>15</v>
      </c>
      <c r="M1192" s="42" t="str">
        <f>VLOOKUP($D1192,Sheet1!$D$5:$F$192,2,TRUE)</f>
        <v>~|)</v>
      </c>
      <c r="N1192" s="23">
        <f>FLOOR(VLOOKUP($D1192,Sheet1!$G$5:$I$192,3,TRUE),1)</f>
        <v>18</v>
      </c>
      <c r="O1192" s="42" t="str">
        <f>VLOOKUP($D1192,Sheet1!$G$5:$I$192,2,TRUE)</f>
        <v>~|)</v>
      </c>
      <c r="P1192" s="23">
        <v>1</v>
      </c>
      <c r="Q1192" s="43" t="str">
        <f>VLOOKUP($D1192,Sheet1!$J$5:$L$192,2,TRUE)</f>
        <v>~|)</v>
      </c>
      <c r="R1192" s="23">
        <f>FLOOR(VLOOKUP($D1192,Sheet1!$M$5:$O$192,3,TRUE),1)</f>
        <v>73</v>
      </c>
      <c r="S1192" s="42" t="str">
        <f>VLOOKUP($D1192,Sheet1!$M$5:$O$192,2,TRUE)</f>
        <v>~|)</v>
      </c>
      <c r="T1192" s="117">
        <f>IF(ABS(D1192-VLOOKUP($D1192,Sheet1!$M$5:$T$192,8,TRUE))&lt;10^-10,"SoCA",D1192-VLOOKUP($D1192,Sheet1!$M$5:$T$192,8,TRUE))</f>
        <v>-3.2236894226691959E-2</v>
      </c>
      <c r="U1192" s="109" t="str">
        <f>IF(VLOOKUP($D1192,Sheet1!$M$5:$U$192,9,TRUE)=0,"",IF(ABS(D1192-VLOOKUP($D1192,Sheet1!$M$5:$U$192,9,TRUE))&lt;10^-10,"Alt.",D1192-VLOOKUP($D1192,Sheet1!$M$5:$U$192,9,TRUE)))</f>
        <v/>
      </c>
      <c r="V1192" s="132">
        <f>$D1192-Sheet1!$M$3*$R1192</f>
        <v>4.6526070425457533E-2</v>
      </c>
      <c r="Z1192" s="6"/>
      <c r="AA1192" s="61"/>
    </row>
    <row r="1193" spans="1:27" ht="13.5">
      <c r="A1193" t="s">
        <v>1749</v>
      </c>
      <c r="B1193">
        <v>10031769</v>
      </c>
      <c r="C1193">
        <v>10240000</v>
      </c>
      <c r="D1193" s="13">
        <f t="shared" si="24"/>
        <v>35.567618903274386</v>
      </c>
      <c r="E1193" s="61" t="s">
        <v>1931</v>
      </c>
      <c r="F1193" s="65">
        <v>258.24888516935778</v>
      </c>
      <c r="G1193" s="6">
        <v>1656</v>
      </c>
      <c r="H1193" s="6">
        <v>1598</v>
      </c>
      <c r="I1193" s="65">
        <v>-10.190027875765164</v>
      </c>
      <c r="J1193" s="6">
        <f>VLOOKUP($D1193,Sheet1!$A$5:$C$192,3,TRUE)</f>
        <v>7</v>
      </c>
      <c r="K1193" s="42" t="str">
        <f>VLOOKUP($D1193,Sheet1!$A$5:$C$192,2,TRUE)</f>
        <v>(|(</v>
      </c>
      <c r="L1193" s="6">
        <f>FLOOR(VLOOKUP($D1193,Sheet1!$D$5:$F$192,3,TRUE),1)</f>
        <v>15</v>
      </c>
      <c r="M1193" s="42" t="str">
        <f>VLOOKUP($D1193,Sheet1!$D$5:$F$192,2,TRUE)</f>
        <v>~|)</v>
      </c>
      <c r="N1193" s="23">
        <f>FLOOR(VLOOKUP($D1193,Sheet1!$G$5:$I$192,3,TRUE),1)</f>
        <v>18</v>
      </c>
      <c r="O1193" s="42" t="str">
        <f>VLOOKUP($D1193,Sheet1!$G$5:$I$192,2,TRUE)</f>
        <v>~|)</v>
      </c>
      <c r="P1193" s="23">
        <v>1</v>
      </c>
      <c r="Q1193" s="43" t="str">
        <f>VLOOKUP($D1193,Sheet1!$J$5:$L$192,2,TRUE)</f>
        <v>~|)</v>
      </c>
      <c r="R1193" s="23">
        <f>FLOOR(VLOOKUP($D1193,Sheet1!$M$5:$O$192,3,TRUE),1)</f>
        <v>73</v>
      </c>
      <c r="S1193" s="42" t="str">
        <f>VLOOKUP($D1193,Sheet1!$M$5:$O$192,2,TRUE)</f>
        <v>~|)</v>
      </c>
      <c r="T1193" s="117">
        <f>IF(ABS(D1193-VLOOKUP($D1193,Sheet1!$M$5:$T$192,8,TRUE))&lt;10^-10,"SoCA",D1193-VLOOKUP($D1193,Sheet1!$M$5:$T$192,8,TRUE))</f>
        <v>-0.12919316958793559</v>
      </c>
      <c r="U1193" s="109" t="str">
        <f>IF(VLOOKUP($D1193,Sheet1!$M$5:$U$192,9,TRUE)=0,"",IF(ABS(D1193-VLOOKUP($D1193,Sheet1!$M$5:$U$192,9,TRUE))&lt;10^-10,"Alt.",D1193-VLOOKUP($D1193,Sheet1!$M$5:$U$192,9,TRUE)))</f>
        <v/>
      </c>
      <c r="V1193" s="132">
        <f>$D1193-Sheet1!$M$3*$R1193</f>
        <v>-5.0430204935786094E-2</v>
      </c>
      <c r="Z1193" s="6"/>
      <c r="AA1193" s="61"/>
    </row>
    <row r="1194" spans="1:27" ht="13.5">
      <c r="A1194" t="s">
        <v>1649</v>
      </c>
      <c r="B1194">
        <v>802629</v>
      </c>
      <c r="C1194">
        <v>819200</v>
      </c>
      <c r="D1194" s="13">
        <f t="shared" si="24"/>
        <v>35.378918260102566</v>
      </c>
      <c r="E1194" s="61" t="s">
        <v>1931</v>
      </c>
      <c r="F1194" s="65">
        <v>464.0015132670697</v>
      </c>
      <c r="G1194" s="6">
        <v>1558</v>
      </c>
      <c r="H1194" s="6">
        <v>1498</v>
      </c>
      <c r="I1194" s="65">
        <v>-9.1784088896912035</v>
      </c>
      <c r="J1194" s="6">
        <f>VLOOKUP($D1194,Sheet1!$A$5:$C$192,3,TRUE)</f>
        <v>7</v>
      </c>
      <c r="K1194" s="42" t="str">
        <f>VLOOKUP($D1194,Sheet1!$A$5:$C$192,2,TRUE)</f>
        <v>(|(</v>
      </c>
      <c r="L1194" s="6">
        <f>FLOOR(VLOOKUP($D1194,Sheet1!$D$5:$F$192,3,TRUE),1)</f>
        <v>15</v>
      </c>
      <c r="M1194" s="42" t="str">
        <f>VLOOKUP($D1194,Sheet1!$D$5:$F$192,2,TRUE)</f>
        <v>~|)</v>
      </c>
      <c r="N1194" s="23">
        <f>FLOOR(VLOOKUP($D1194,Sheet1!$G$5:$I$192,3,TRUE),1)</f>
        <v>18</v>
      </c>
      <c r="O1194" s="42" t="str">
        <f>VLOOKUP($D1194,Sheet1!$G$5:$I$192,2,TRUE)</f>
        <v>~|)</v>
      </c>
      <c r="P1194" s="23">
        <v>1</v>
      </c>
      <c r="Q1194" s="43" t="str">
        <f>VLOOKUP($D1194,Sheet1!$J$5:$L$192,2,TRUE)</f>
        <v>~|)</v>
      </c>
      <c r="R1194" s="23">
        <f>FLOOR(VLOOKUP($D1194,Sheet1!$M$5:$O$192,3,TRUE),1)</f>
        <v>73</v>
      </c>
      <c r="S1194" s="42" t="str">
        <f>VLOOKUP($D1194,Sheet1!$M$5:$O$192,2,TRUE)</f>
        <v>~|)</v>
      </c>
      <c r="T1194" s="117">
        <f>IF(ABS(D1194-VLOOKUP($D1194,Sheet1!$M$5:$T$192,8,TRUE))&lt;10^-10,"SoCA",D1194-VLOOKUP($D1194,Sheet1!$M$5:$T$192,8,TRUE))</f>
        <v>-0.31789381275975614</v>
      </c>
      <c r="U1194" s="109" t="str">
        <f>IF(VLOOKUP($D1194,Sheet1!$M$5:$U$192,9,TRUE)=0,"",IF(ABS(D1194-VLOOKUP($D1194,Sheet1!$M$5:$U$192,9,TRUE))&lt;10^-10,"Alt.",D1194-VLOOKUP($D1194,Sheet1!$M$5:$U$192,9,TRUE)))</f>
        <v/>
      </c>
      <c r="V1194" s="132">
        <f>$D1194-Sheet1!$M$3*$R1194</f>
        <v>-0.23913084810760665</v>
      </c>
      <c r="Z1194" s="6"/>
      <c r="AA1194" s="61"/>
    </row>
    <row r="1195" spans="1:27" ht="13.5">
      <c r="A1195" t="s">
        <v>1535</v>
      </c>
      <c r="B1195">
        <v>5016249</v>
      </c>
      <c r="C1195">
        <v>5120000</v>
      </c>
      <c r="D1195" s="13">
        <f t="shared" si="24"/>
        <v>35.441816189193133</v>
      </c>
      <c r="E1195" s="61" t="s">
        <v>1931</v>
      </c>
      <c r="F1195" s="65">
        <v>1420.7751630359644</v>
      </c>
      <c r="G1195" s="6">
        <v>1439</v>
      </c>
      <c r="H1195" s="6">
        <v>1384</v>
      </c>
      <c r="I1195" s="65">
        <v>-8.18228174433494</v>
      </c>
      <c r="J1195" s="6">
        <f>VLOOKUP($D1195,Sheet1!$A$5:$C$192,3,TRUE)</f>
        <v>7</v>
      </c>
      <c r="K1195" s="42" t="str">
        <f>VLOOKUP($D1195,Sheet1!$A$5:$C$192,2,TRUE)</f>
        <v>(|(</v>
      </c>
      <c r="L1195" s="6">
        <f>FLOOR(VLOOKUP($D1195,Sheet1!$D$5:$F$192,3,TRUE),1)</f>
        <v>15</v>
      </c>
      <c r="M1195" s="42" t="str">
        <f>VLOOKUP($D1195,Sheet1!$D$5:$F$192,2,TRUE)</f>
        <v>~|)</v>
      </c>
      <c r="N1195" s="23">
        <f>FLOOR(VLOOKUP($D1195,Sheet1!$G$5:$I$192,3,TRUE),1)</f>
        <v>18</v>
      </c>
      <c r="O1195" s="42" t="str">
        <f>VLOOKUP($D1195,Sheet1!$G$5:$I$192,2,TRUE)</f>
        <v>~|)</v>
      </c>
      <c r="P1195" s="23">
        <v>1</v>
      </c>
      <c r="Q1195" s="43" t="str">
        <f>VLOOKUP($D1195,Sheet1!$J$5:$L$192,2,TRUE)</f>
        <v>~|)</v>
      </c>
      <c r="R1195" s="23">
        <f>FLOOR(VLOOKUP($D1195,Sheet1!$M$5:$O$192,3,TRUE),1)</f>
        <v>73</v>
      </c>
      <c r="S1195" s="42" t="str">
        <f>VLOOKUP($D1195,Sheet1!$M$5:$O$192,2,TRUE)</f>
        <v>~|)</v>
      </c>
      <c r="T1195" s="117">
        <f>IF(ABS(D1195-VLOOKUP($D1195,Sheet1!$M$5:$T$192,8,TRUE))&lt;10^-10,"SoCA",D1195-VLOOKUP($D1195,Sheet1!$M$5:$T$192,8,TRUE))</f>
        <v>-0.25499588366918857</v>
      </c>
      <c r="U1195" s="109" t="str">
        <f>IF(VLOOKUP($D1195,Sheet1!$M$5:$U$192,9,TRUE)=0,"",IF(ABS(D1195-VLOOKUP($D1195,Sheet1!$M$5:$U$192,9,TRUE))&lt;10^-10,"Alt.",D1195-VLOOKUP($D1195,Sheet1!$M$5:$U$192,9,TRUE)))</f>
        <v/>
      </c>
      <c r="V1195" s="132">
        <f>$D1195-Sheet1!$M$3*$R1195</f>
        <v>-0.17623291901703908</v>
      </c>
      <c r="Z1195" s="6"/>
      <c r="AA1195" s="61"/>
    </row>
    <row r="1196" spans="1:27" ht="13.5">
      <c r="A1196" t="s">
        <v>546</v>
      </c>
      <c r="B1196">
        <v>33208</v>
      </c>
      <c r="C1196">
        <v>33903</v>
      </c>
      <c r="D1196" s="13">
        <f t="shared" si="24"/>
        <v>35.858523343316733</v>
      </c>
      <c r="E1196" s="61" t="s">
        <v>1931</v>
      </c>
      <c r="F1196" s="65">
        <v>5240.5193547022282</v>
      </c>
      <c r="G1196" s="6">
        <v>464</v>
      </c>
      <c r="H1196" s="6">
        <v>390</v>
      </c>
      <c r="I1196" s="65">
        <v>-0.20793992196114797</v>
      </c>
      <c r="J1196" s="6">
        <f>VLOOKUP($D1196,Sheet1!$A$5:$C$192,3,TRUE)</f>
        <v>7</v>
      </c>
      <c r="K1196" s="42" t="str">
        <f>VLOOKUP($D1196,Sheet1!$A$5:$C$192,2,TRUE)</f>
        <v>(|(</v>
      </c>
      <c r="L1196" s="6">
        <f>FLOOR(VLOOKUP($D1196,Sheet1!$D$5:$F$192,3,TRUE),1)</f>
        <v>15</v>
      </c>
      <c r="M1196" s="42" t="str">
        <f>VLOOKUP($D1196,Sheet1!$D$5:$F$192,2,TRUE)</f>
        <v>~|)</v>
      </c>
      <c r="N1196" s="23">
        <f>FLOOR(VLOOKUP($D1196,Sheet1!$G$5:$I$192,3,TRUE),1)</f>
        <v>18</v>
      </c>
      <c r="O1196" s="42" t="str">
        <f>VLOOKUP($D1196,Sheet1!$G$5:$I$192,2,TRUE)</f>
        <v>~|)</v>
      </c>
      <c r="P1196" s="23">
        <v>1</v>
      </c>
      <c r="Q1196" s="43" t="str">
        <f>VLOOKUP($D1196,Sheet1!$J$5:$L$192,2,TRUE)</f>
        <v>~|)</v>
      </c>
      <c r="R1196" s="23">
        <f>FLOOR(VLOOKUP($D1196,Sheet1!$M$5:$O$192,3,TRUE),1)</f>
        <v>73</v>
      </c>
      <c r="S1196" s="42" t="str">
        <f>VLOOKUP($D1196,Sheet1!$M$5:$O$192,2,TRUE)</f>
        <v>~|)</v>
      </c>
      <c r="T1196" s="117">
        <f>IF(ABS(D1196-VLOOKUP($D1196,Sheet1!$M$5:$T$192,8,TRUE))&lt;10^-10,"SoCA",D1196-VLOOKUP($D1196,Sheet1!$M$5:$T$192,8,TRUE))</f>
        <v>0.16171127045441125</v>
      </c>
      <c r="U1196" s="109" t="str">
        <f>IF(VLOOKUP($D1196,Sheet1!$M$5:$U$192,9,TRUE)=0,"",IF(ABS(D1196-VLOOKUP($D1196,Sheet1!$M$5:$U$192,9,TRUE))&lt;10^-10,"Alt.",D1196-VLOOKUP($D1196,Sheet1!$M$5:$U$192,9,TRUE)))</f>
        <v/>
      </c>
      <c r="V1196" s="132">
        <f>$D1196-Sheet1!$M$3*$R1196</f>
        <v>0.24047423510656074</v>
      </c>
      <c r="Z1196" s="6"/>
      <c r="AA1196" s="61"/>
    </row>
    <row r="1197" spans="1:27" ht="13.5">
      <c r="A1197" s="87" t="s">
        <v>263</v>
      </c>
      <c r="B1197" s="87">
        <f>2^16*5</f>
        <v>327680</v>
      </c>
      <c r="C1197" s="87">
        <f>3^9*17</f>
        <v>334611</v>
      </c>
      <c r="D1197" s="13">
        <f t="shared" si="24"/>
        <v>36.236703424059158</v>
      </c>
      <c r="E1197" s="61">
        <v>17</v>
      </c>
      <c r="F1197" s="65">
        <v>27.451663689456957</v>
      </c>
      <c r="G1197" s="6">
        <v>57</v>
      </c>
      <c r="H1197" s="6">
        <v>59</v>
      </c>
      <c r="I1197" s="65">
        <v>6.7687741526824938</v>
      </c>
      <c r="J1197" s="6">
        <f>VLOOKUP($D1197,Sheet1!$A$5:$C$192,3,TRUE)</f>
        <v>7</v>
      </c>
      <c r="K1197" s="42" t="str">
        <f>VLOOKUP($D1197,Sheet1!$A$5:$C$192,2,TRUE)</f>
        <v>(|(</v>
      </c>
      <c r="L1197" s="6">
        <f>FLOOR(VLOOKUP($D1197,Sheet1!$D$5:$F$192,3,TRUE),1)</f>
        <v>15</v>
      </c>
      <c r="M1197" s="42" t="str">
        <f>VLOOKUP($D1197,Sheet1!$D$5:$F$192,2,TRUE)</f>
        <v>~|)</v>
      </c>
      <c r="N1197" s="23">
        <f>FLOOR(VLOOKUP($D1197,Sheet1!$G$5:$I$192,3,TRUE),1)</f>
        <v>18</v>
      </c>
      <c r="O1197" s="42" t="str">
        <f>VLOOKUP($D1197,Sheet1!$G$5:$I$192,2,TRUE)</f>
        <v>~|)</v>
      </c>
      <c r="P1197" s="23">
        <v>1</v>
      </c>
      <c r="Q1197" s="45" t="str">
        <f>VLOOKUP($D1197,Sheet1!$J$5:$L$192,2,TRUE)</f>
        <v>~|)'</v>
      </c>
      <c r="R1197" s="38">
        <f>FLOOR(VLOOKUP($D1197,Sheet1!$M$5:$O$192,3,TRUE),1)</f>
        <v>74</v>
      </c>
      <c r="S1197" s="45" t="str">
        <f>VLOOKUP($D1197,Sheet1!$M$5:$O$192,2,TRUE)</f>
        <v>~|)'</v>
      </c>
      <c r="T1197" s="108">
        <f>IF(ABS(D1197-VLOOKUP($D1197,Sheet1!$M$5:$T$192,8,TRUE))&lt;10^-10,"SoCA",D1197-VLOOKUP($D1197,Sheet1!$M$5:$T$192,8,TRUE))</f>
        <v>0.11717518524201154</v>
      </c>
      <c r="U1197" s="108">
        <f>IF(VLOOKUP($D1197,Sheet1!$M$5:$U$192,9,TRUE)=0,"",IF(ABS(D1197-VLOOKUP($D1197,Sheet1!$M$5:$U$192,9,TRUE))&lt;10^-10,"Alt.",D1197-VLOOKUP($D1197,Sheet1!$M$5:$U$192,9,TRUE)))</f>
        <v>0.14413548044444724</v>
      </c>
      <c r="V1197" s="133">
        <f>$D1197-Sheet1!$M$3*$R1197</f>
        <v>0.13073583491459573</v>
      </c>
      <c r="Z1197" s="6"/>
      <c r="AA1197" s="61"/>
    </row>
    <row r="1198" spans="1:27" ht="13.5">
      <c r="A1198" s="23" t="s">
        <v>367</v>
      </c>
      <c r="B1198" s="23">
        <f>3^3*5*13</f>
        <v>1755</v>
      </c>
      <c r="C1198" s="23">
        <f>2^8*7</f>
        <v>1792</v>
      </c>
      <c r="D1198" s="13">
        <f t="shared" si="24"/>
        <v>36.119528238817388</v>
      </c>
      <c r="E1198" s="61">
        <v>13</v>
      </c>
      <c r="F1198" s="65">
        <v>30.413075731642234</v>
      </c>
      <c r="G1198" s="6">
        <v>210</v>
      </c>
      <c r="H1198" s="6">
        <v>202</v>
      </c>
      <c r="I1198" s="65">
        <v>-5.2240109442697289</v>
      </c>
      <c r="J1198" s="6">
        <f>VLOOKUP($D1198,Sheet1!$A$5:$C$192,3,TRUE)</f>
        <v>7</v>
      </c>
      <c r="K1198" s="42" t="str">
        <f>VLOOKUP($D1198,Sheet1!$A$5:$C$192,2,TRUE)</f>
        <v>(|(</v>
      </c>
      <c r="L1198" s="6">
        <f>FLOOR(VLOOKUP($D1198,Sheet1!$D$5:$F$192,3,TRUE),1)</f>
        <v>15</v>
      </c>
      <c r="M1198" s="42" t="str">
        <f>VLOOKUP($D1198,Sheet1!$D$5:$F$192,2,TRUE)</f>
        <v>~|)</v>
      </c>
      <c r="N1198" s="23">
        <f>FLOOR(VLOOKUP($D1198,Sheet1!$G$5:$I$192,3,TRUE),1)</f>
        <v>18</v>
      </c>
      <c r="O1198" s="42" t="str">
        <f>VLOOKUP($D1198,Sheet1!$G$5:$I$192,2,TRUE)</f>
        <v>~|)</v>
      </c>
      <c r="P1198" s="23">
        <v>1</v>
      </c>
      <c r="Q1198" s="43" t="str">
        <f>VLOOKUP($D1198,Sheet1!$J$5:$L$192,2,TRUE)</f>
        <v>~|)'</v>
      </c>
      <c r="R1198" s="23">
        <f>FLOOR(VLOOKUP($D1198,Sheet1!$M$5:$O$192,3,TRUE),1)</f>
        <v>74</v>
      </c>
      <c r="S1198" s="43" t="str">
        <f>VLOOKUP($D1198,Sheet1!$M$5:$O$192,2,TRUE)</f>
        <v>~|)'</v>
      </c>
      <c r="T1198" s="124" t="str">
        <f>IF(ABS(D1198-VLOOKUP($D1198,Sheet1!$M$5:$T$192,8,TRUE))&lt;10^-10,"SoCA",D1198-VLOOKUP($D1198,Sheet1!$M$5:$T$192,8,TRUE))</f>
        <v>SoCA</v>
      </c>
      <c r="U1198" s="117">
        <f>IF(VLOOKUP($D1198,Sheet1!$M$5:$U$192,9,TRUE)=0,"",IF(ABS(D1198-VLOOKUP($D1198,Sheet1!$M$5:$U$192,9,TRUE))&lt;10^-10,"Alt.",D1198-VLOOKUP($D1198,Sheet1!$M$5:$U$192,9,TRUE)))</f>
        <v>2.6960295202677287E-2</v>
      </c>
      <c r="V1198" s="132">
        <f>$D1198-Sheet1!$M$3*$R1198</f>
        <v>1.3560649672825775E-2</v>
      </c>
      <c r="Z1198" s="6"/>
      <c r="AA1198" s="61"/>
    </row>
    <row r="1199" spans="1:27" ht="13.5">
      <c r="A1199" s="23" t="s">
        <v>430</v>
      </c>
      <c r="B1199" s="23">
        <f>2^7*5^2</f>
        <v>3200</v>
      </c>
      <c r="C1199" s="23">
        <f>3^3*11^2</f>
        <v>3267</v>
      </c>
      <c r="D1199" s="13">
        <f t="shared" si="24"/>
        <v>35.873459596006121</v>
      </c>
      <c r="E1199" s="61">
        <v>11</v>
      </c>
      <c r="F1199" s="65">
        <v>32.094777294295355</v>
      </c>
      <c r="G1199" s="6">
        <v>309</v>
      </c>
      <c r="H1199" s="6">
        <v>268</v>
      </c>
      <c r="I1199" s="65">
        <v>0.79114039854503515</v>
      </c>
      <c r="J1199" s="6">
        <f>VLOOKUP($D1199,Sheet1!$A$5:$C$192,3,TRUE)</f>
        <v>7</v>
      </c>
      <c r="K1199" s="42" t="str">
        <f>VLOOKUP($D1199,Sheet1!$A$5:$C$192,2,TRUE)</f>
        <v>(|(</v>
      </c>
      <c r="L1199" s="6">
        <f>FLOOR(VLOOKUP($D1199,Sheet1!$D$5:$F$192,3,TRUE),1)</f>
        <v>15</v>
      </c>
      <c r="M1199" s="42" t="str">
        <f>VLOOKUP($D1199,Sheet1!$D$5:$F$192,2,TRUE)</f>
        <v>~|)</v>
      </c>
      <c r="N1199" s="23">
        <f>FLOOR(VLOOKUP($D1199,Sheet1!$G$5:$I$192,3,TRUE),1)</f>
        <v>18</v>
      </c>
      <c r="O1199" s="42" t="str">
        <f>VLOOKUP($D1199,Sheet1!$G$5:$I$192,2,TRUE)</f>
        <v>~|)</v>
      </c>
      <c r="P1199" s="23">
        <v>1</v>
      </c>
      <c r="Q1199" s="43" t="str">
        <f>VLOOKUP($D1199,Sheet1!$J$5:$L$192,2,TRUE)</f>
        <v>~|)'</v>
      </c>
      <c r="R1199" s="23">
        <f>FLOOR(VLOOKUP($D1199,Sheet1!$M$5:$O$192,3,TRUE),1)</f>
        <v>74</v>
      </c>
      <c r="S1199" s="43" t="str">
        <f>VLOOKUP($D1199,Sheet1!$M$5:$O$192,2,TRUE)</f>
        <v>~|)'</v>
      </c>
      <c r="T1199" s="117">
        <f>IF(ABS(D1199-VLOOKUP($D1199,Sheet1!$M$5:$T$192,8,TRUE))&lt;10^-10,"SoCA",D1199-VLOOKUP($D1199,Sheet1!$M$5:$T$192,8,TRUE))</f>
        <v>-0.24606864281102503</v>
      </c>
      <c r="U1199" s="117">
        <f>IF(VLOOKUP($D1199,Sheet1!$M$5:$U$192,9,TRUE)=0,"",IF(ABS(D1199-VLOOKUP($D1199,Sheet1!$M$5:$U$192,9,TRUE))&lt;10^-10,"Alt.",D1199-VLOOKUP($D1199,Sheet1!$M$5:$U$192,9,TRUE)))</f>
        <v>-0.21910834760858933</v>
      </c>
      <c r="V1199" s="132">
        <f>$D1199-Sheet1!$M$3*$R1199</f>
        <v>-0.23250799313844084</v>
      </c>
      <c r="Z1199" s="6"/>
      <c r="AA1199" s="61"/>
    </row>
    <row r="1200" spans="1:27" ht="13.5">
      <c r="A1200" s="14" t="s">
        <v>143</v>
      </c>
      <c r="B1200" s="14">
        <f>2*7*17</f>
        <v>238</v>
      </c>
      <c r="C1200" s="14">
        <f>3^5</f>
        <v>243</v>
      </c>
      <c r="D1200" s="13">
        <f t="shared" si="24"/>
        <v>35.993688357404743</v>
      </c>
      <c r="E1200" s="61">
        <v>17</v>
      </c>
      <c r="F1200" s="65">
        <v>33.949950048199732</v>
      </c>
      <c r="G1200" s="6">
        <v>403</v>
      </c>
      <c r="H1200" s="6">
        <v>366</v>
      </c>
      <c r="I1200" s="65">
        <v>2.7837374756884965</v>
      </c>
      <c r="J1200" s="6">
        <f>VLOOKUP($D1200,Sheet1!$A$5:$C$192,3,TRUE)</f>
        <v>7</v>
      </c>
      <c r="K1200" s="42" t="str">
        <f>VLOOKUP($D1200,Sheet1!$A$5:$C$192,2,TRUE)</f>
        <v>(|(</v>
      </c>
      <c r="L1200" s="6">
        <f>FLOOR(VLOOKUP($D1200,Sheet1!$D$5:$F$192,3,TRUE),1)</f>
        <v>15</v>
      </c>
      <c r="M1200" s="42" t="str">
        <f>VLOOKUP($D1200,Sheet1!$D$5:$F$192,2,TRUE)</f>
        <v>~|)</v>
      </c>
      <c r="N1200" s="23">
        <f>FLOOR(VLOOKUP($D1200,Sheet1!$G$5:$I$192,3,TRUE),1)</f>
        <v>18</v>
      </c>
      <c r="O1200" s="42" t="str">
        <f>VLOOKUP($D1200,Sheet1!$G$5:$I$192,2,TRUE)</f>
        <v>~|)</v>
      </c>
      <c r="P1200" s="23">
        <v>1</v>
      </c>
      <c r="Q1200" s="43" t="str">
        <f>VLOOKUP($D1200,Sheet1!$J$5:$L$192,2,TRUE)</f>
        <v>~|)'</v>
      </c>
      <c r="R1200" s="23">
        <f>FLOOR(VLOOKUP($D1200,Sheet1!$M$5:$O$192,3,TRUE),1)</f>
        <v>74</v>
      </c>
      <c r="S1200" s="42" t="str">
        <f>VLOOKUP($D1200,Sheet1!$M$5:$O$192,2,TRUE)</f>
        <v>~|)'</v>
      </c>
      <c r="T1200" s="117">
        <f>IF(ABS(D1200-VLOOKUP($D1200,Sheet1!$M$5:$T$192,8,TRUE))&lt;10^-10,"SoCA",D1200-VLOOKUP($D1200,Sheet1!$M$5:$T$192,8,TRUE))</f>
        <v>-0.12583988141240354</v>
      </c>
      <c r="U1200" s="109">
        <f>IF(VLOOKUP($D1200,Sheet1!$M$5:$U$192,9,TRUE)=0,"",IF(ABS(D1200-VLOOKUP($D1200,Sheet1!$M$5:$U$192,9,TRUE))&lt;10^-10,"Alt.",D1200-VLOOKUP($D1200,Sheet1!$M$5:$U$192,9,TRUE)))</f>
        <v>-9.887958620996784E-2</v>
      </c>
      <c r="V1200" s="132">
        <f>$D1200-Sheet1!$M$3*$R1200</f>
        <v>-0.11227923173981935</v>
      </c>
      <c r="Z1200" s="6"/>
      <c r="AA1200" s="61"/>
    </row>
    <row r="1201" spans="1:27" ht="13.5">
      <c r="A1201" t="s">
        <v>756</v>
      </c>
      <c r="B1201">
        <v>16384</v>
      </c>
      <c r="C1201">
        <v>16731</v>
      </c>
      <c r="D1201" s="13">
        <f t="shared" si="24"/>
        <v>36.283267634152736</v>
      </c>
      <c r="E1201" s="61">
        <v>13</v>
      </c>
      <c r="F1201" s="65">
        <v>59.252378954333956</v>
      </c>
      <c r="G1201" s="6">
        <v>716</v>
      </c>
      <c r="H1201" s="6">
        <v>602</v>
      </c>
      <c r="I1201" s="65">
        <v>-0.23409297537562113</v>
      </c>
      <c r="J1201" s="6">
        <f>VLOOKUP($D1201,Sheet1!$A$5:$C$192,3,TRUE)</f>
        <v>7</v>
      </c>
      <c r="K1201" s="42" t="str">
        <f>VLOOKUP($D1201,Sheet1!$A$5:$C$192,2,TRUE)</f>
        <v>(|(</v>
      </c>
      <c r="L1201" s="6">
        <f>FLOOR(VLOOKUP($D1201,Sheet1!$D$5:$F$192,3,TRUE),1)</f>
        <v>15</v>
      </c>
      <c r="M1201" s="42" t="str">
        <f>VLOOKUP($D1201,Sheet1!$D$5:$F$192,2,TRUE)</f>
        <v>~|)</v>
      </c>
      <c r="N1201" s="23">
        <f>FLOOR(VLOOKUP($D1201,Sheet1!$G$5:$I$192,3,TRUE),1)</f>
        <v>18</v>
      </c>
      <c r="O1201" s="42" t="str">
        <f>VLOOKUP($D1201,Sheet1!$G$5:$I$192,2,TRUE)</f>
        <v>~|)</v>
      </c>
      <c r="P1201" s="23">
        <v>1</v>
      </c>
      <c r="Q1201" s="43" t="str">
        <f>VLOOKUP($D1201,Sheet1!$J$5:$L$192,2,TRUE)</f>
        <v>~|)'</v>
      </c>
      <c r="R1201" s="23">
        <f>FLOOR(VLOOKUP($D1201,Sheet1!$M$5:$O$192,3,TRUE),1)</f>
        <v>74</v>
      </c>
      <c r="S1201" s="42" t="str">
        <f>VLOOKUP($D1201,Sheet1!$M$5:$O$192,2,TRUE)</f>
        <v>~|)'</v>
      </c>
      <c r="T1201" s="117">
        <f>IF(ABS(D1201-VLOOKUP($D1201,Sheet1!$M$5:$T$192,8,TRUE))&lt;10^-10,"SoCA",D1201-VLOOKUP($D1201,Sheet1!$M$5:$T$192,8,TRUE))</f>
        <v>0.16373939533558968</v>
      </c>
      <c r="U1201" s="109">
        <f>IF(VLOOKUP($D1201,Sheet1!$M$5:$U$192,9,TRUE)=0,"",IF(ABS(D1201-VLOOKUP($D1201,Sheet1!$M$5:$U$192,9,TRUE))&lt;10^-10,"Alt.",D1201-VLOOKUP($D1201,Sheet1!$M$5:$U$192,9,TRUE)))</f>
        <v>0.19069969053802538</v>
      </c>
      <c r="V1201" s="132">
        <f>$D1201-Sheet1!$M$3*$R1201</f>
        <v>0.17730004500817387</v>
      </c>
      <c r="Z1201" s="6"/>
      <c r="AA1201" s="61"/>
    </row>
    <row r="1202" spans="1:27" ht="13.5">
      <c r="A1202" t="s">
        <v>825</v>
      </c>
      <c r="B1202">
        <v>186368</v>
      </c>
      <c r="C1202">
        <v>190269</v>
      </c>
      <c r="D1202" s="13">
        <f t="shared" si="24"/>
        <v>35.863632837750444</v>
      </c>
      <c r="E1202" s="61">
        <v>29</v>
      </c>
      <c r="F1202" s="65">
        <v>62.181849065060455</v>
      </c>
      <c r="G1202" s="6">
        <v>641</v>
      </c>
      <c r="H1202" s="6">
        <v>672</v>
      </c>
      <c r="I1202" s="65">
        <v>5.7917454678516673</v>
      </c>
      <c r="J1202" s="6">
        <f>VLOOKUP($D1202,Sheet1!$A$5:$C$192,3,TRUE)</f>
        <v>7</v>
      </c>
      <c r="K1202" s="42" t="str">
        <f>VLOOKUP($D1202,Sheet1!$A$5:$C$192,2,TRUE)</f>
        <v>(|(</v>
      </c>
      <c r="L1202" s="6">
        <f>FLOOR(VLOOKUP($D1202,Sheet1!$D$5:$F$192,3,TRUE),1)</f>
        <v>15</v>
      </c>
      <c r="M1202" s="42" t="str">
        <f>VLOOKUP($D1202,Sheet1!$D$5:$F$192,2,TRUE)</f>
        <v>~|)</v>
      </c>
      <c r="N1202" s="23">
        <f>FLOOR(VLOOKUP($D1202,Sheet1!$G$5:$I$192,3,TRUE),1)</f>
        <v>18</v>
      </c>
      <c r="O1202" s="42" t="str">
        <f>VLOOKUP($D1202,Sheet1!$G$5:$I$192,2,TRUE)</f>
        <v>~|)</v>
      </c>
      <c r="P1202" s="23">
        <v>1</v>
      </c>
      <c r="Q1202" s="43" t="str">
        <f>VLOOKUP($D1202,Sheet1!$J$5:$L$192,2,TRUE)</f>
        <v>~|)'</v>
      </c>
      <c r="R1202" s="23">
        <f>FLOOR(VLOOKUP($D1202,Sheet1!$M$5:$O$192,3,TRUE),1)</f>
        <v>74</v>
      </c>
      <c r="S1202" s="42" t="str">
        <f>VLOOKUP($D1202,Sheet1!$M$5:$O$192,2,TRUE)</f>
        <v>~|)'</v>
      </c>
      <c r="T1202" s="117">
        <f>IF(ABS(D1202-VLOOKUP($D1202,Sheet1!$M$5:$T$192,8,TRUE))&lt;10^-10,"SoCA",D1202-VLOOKUP($D1202,Sheet1!$M$5:$T$192,8,TRUE))</f>
        <v>-0.25589540106670228</v>
      </c>
      <c r="U1202" s="109">
        <f>IF(VLOOKUP($D1202,Sheet1!$M$5:$U$192,9,TRUE)=0,"",IF(ABS(D1202-VLOOKUP($D1202,Sheet1!$M$5:$U$192,9,TRUE))&lt;10^-10,"Alt.",D1202-VLOOKUP($D1202,Sheet1!$M$5:$U$192,9,TRUE)))</f>
        <v>-0.22893510586426657</v>
      </c>
      <c r="V1202" s="132">
        <f>$D1202-Sheet1!$M$3*$R1202</f>
        <v>-0.24233475139411809</v>
      </c>
      <c r="Z1202" s="6"/>
      <c r="AA1202" s="61"/>
    </row>
    <row r="1203" spans="1:27" ht="13.5">
      <c r="A1203" s="6" t="s">
        <v>393</v>
      </c>
      <c r="B1203" s="6">
        <f>3^2*37</f>
        <v>333</v>
      </c>
      <c r="C1203" s="6">
        <f>2^2*5*17</f>
        <v>340</v>
      </c>
      <c r="D1203" s="13">
        <f t="shared" si="24"/>
        <v>36.015082879727672</v>
      </c>
      <c r="E1203" s="61">
        <v>37</v>
      </c>
      <c r="F1203" s="65">
        <v>71.056669420707323</v>
      </c>
      <c r="G1203" s="6">
        <v>243</v>
      </c>
      <c r="H1203" s="6">
        <v>228</v>
      </c>
      <c r="I1203" s="65">
        <v>-4.2175798629954144</v>
      </c>
      <c r="J1203" s="6">
        <f>VLOOKUP($D1203,Sheet1!$A$5:$C$192,3,TRUE)</f>
        <v>7</v>
      </c>
      <c r="K1203" s="42" t="str">
        <f>VLOOKUP($D1203,Sheet1!$A$5:$C$192,2,TRUE)</f>
        <v>(|(</v>
      </c>
      <c r="L1203" s="6">
        <f>FLOOR(VLOOKUP($D1203,Sheet1!$D$5:$F$192,3,TRUE),1)</f>
        <v>15</v>
      </c>
      <c r="M1203" s="42" t="str">
        <f>VLOOKUP($D1203,Sheet1!$D$5:$F$192,2,TRUE)</f>
        <v>~|)</v>
      </c>
      <c r="N1203" s="23">
        <f>FLOOR(VLOOKUP($D1203,Sheet1!$G$5:$I$192,3,TRUE),1)</f>
        <v>18</v>
      </c>
      <c r="O1203" s="42" t="str">
        <f>VLOOKUP($D1203,Sheet1!$G$5:$I$192,2,TRUE)</f>
        <v>~|)</v>
      </c>
      <c r="P1203" s="23">
        <v>1</v>
      </c>
      <c r="Q1203" s="43" t="str">
        <f>VLOOKUP($D1203,Sheet1!$J$5:$L$192,2,TRUE)</f>
        <v>~|)'</v>
      </c>
      <c r="R1203" s="23">
        <f>FLOOR(VLOOKUP($D1203,Sheet1!$M$5:$O$192,3,TRUE),1)</f>
        <v>74</v>
      </c>
      <c r="S1203" s="42" t="str">
        <f>VLOOKUP($D1203,Sheet1!$M$5:$O$192,2,TRUE)</f>
        <v>~|)'</v>
      </c>
      <c r="T1203" s="117">
        <f>IF(ABS(D1203-VLOOKUP($D1203,Sheet1!$M$5:$T$192,8,TRUE))&lt;10^-10,"SoCA",D1203-VLOOKUP($D1203,Sheet1!$M$5:$T$192,8,TRUE))</f>
        <v>-0.10444535908947472</v>
      </c>
      <c r="U1203" s="109">
        <f>IF(VLOOKUP($D1203,Sheet1!$M$5:$U$192,9,TRUE)=0,"",IF(ABS(D1203-VLOOKUP($D1203,Sheet1!$M$5:$U$192,9,TRUE))&lt;10^-10,"Alt.",D1203-VLOOKUP($D1203,Sheet1!$M$5:$U$192,9,TRUE)))</f>
        <v>-7.7485063887039018E-2</v>
      </c>
      <c r="V1203" s="132">
        <f>$D1203-Sheet1!$M$3*$R1203</f>
        <v>-9.088470941689053E-2</v>
      </c>
      <c r="Z1203" s="6"/>
      <c r="AA1203" s="61"/>
    </row>
    <row r="1204" spans="1:27" ht="13.5">
      <c r="A1204" t="s">
        <v>504</v>
      </c>
      <c r="B1204">
        <v>5632</v>
      </c>
      <c r="C1204">
        <v>5751</v>
      </c>
      <c r="D1204" s="13">
        <f t="shared" si="24"/>
        <v>36.198604502411612</v>
      </c>
      <c r="E1204" s="61" t="s">
        <v>1931</v>
      </c>
      <c r="F1204" s="65">
        <v>82.237588655187722</v>
      </c>
      <c r="G1204" s="6">
        <v>378</v>
      </c>
      <c r="H1204" s="6">
        <v>345</v>
      </c>
      <c r="I1204" s="65">
        <v>1.7711200420902622</v>
      </c>
      <c r="J1204" s="6">
        <f>VLOOKUP($D1204,Sheet1!$A$5:$C$192,3,TRUE)</f>
        <v>7</v>
      </c>
      <c r="K1204" s="42" t="str">
        <f>VLOOKUP($D1204,Sheet1!$A$5:$C$192,2,TRUE)</f>
        <v>(|(</v>
      </c>
      <c r="L1204" s="6">
        <f>FLOOR(VLOOKUP($D1204,Sheet1!$D$5:$F$192,3,TRUE),1)</f>
        <v>15</v>
      </c>
      <c r="M1204" s="42" t="str">
        <f>VLOOKUP($D1204,Sheet1!$D$5:$F$192,2,TRUE)</f>
        <v>~|)</v>
      </c>
      <c r="N1204" s="23">
        <f>FLOOR(VLOOKUP($D1204,Sheet1!$G$5:$I$192,3,TRUE),1)</f>
        <v>18</v>
      </c>
      <c r="O1204" s="42" t="str">
        <f>VLOOKUP($D1204,Sheet1!$G$5:$I$192,2,TRUE)</f>
        <v>~|)</v>
      </c>
      <c r="P1204" s="23">
        <v>1</v>
      </c>
      <c r="Q1204" s="43" t="str">
        <f>VLOOKUP($D1204,Sheet1!$J$5:$L$192,2,TRUE)</f>
        <v>~|)'</v>
      </c>
      <c r="R1204" s="23">
        <f>FLOOR(VLOOKUP($D1204,Sheet1!$M$5:$O$192,3,TRUE),1)</f>
        <v>74</v>
      </c>
      <c r="S1204" s="42" t="str">
        <f>VLOOKUP($D1204,Sheet1!$M$5:$O$192,2,TRUE)</f>
        <v>~|)'</v>
      </c>
      <c r="T1204" s="117">
        <f>IF(ABS(D1204-VLOOKUP($D1204,Sheet1!$M$5:$T$192,8,TRUE))&lt;10^-10,"SoCA",D1204-VLOOKUP($D1204,Sheet1!$M$5:$T$192,8,TRUE))</f>
        <v>7.9076263594465956E-2</v>
      </c>
      <c r="U1204" s="109">
        <f>IF(VLOOKUP($D1204,Sheet1!$M$5:$U$192,9,TRUE)=0,"",IF(ABS(D1204-VLOOKUP($D1204,Sheet1!$M$5:$U$192,9,TRUE))&lt;10^-10,"Alt.",D1204-VLOOKUP($D1204,Sheet1!$M$5:$U$192,9,TRUE)))</f>
        <v>0.10603655879690166</v>
      </c>
      <c r="V1204" s="132">
        <f>$D1204-Sheet1!$M$3*$R1204</f>
        <v>9.2636913267050147E-2</v>
      </c>
      <c r="Z1204" s="6"/>
      <c r="AA1204" s="61"/>
    </row>
    <row r="1205" spans="1:27" ht="13.5">
      <c r="A1205" t="s">
        <v>1653</v>
      </c>
      <c r="B1205">
        <v>435213</v>
      </c>
      <c r="C1205">
        <v>444416</v>
      </c>
      <c r="D1205" s="13">
        <f t="shared" si="24"/>
        <v>36.226928223284531</v>
      </c>
      <c r="E1205" s="61" t="s">
        <v>1931</v>
      </c>
      <c r="F1205" s="65">
        <v>295.4236281596792</v>
      </c>
      <c r="G1205" s="6">
        <v>1559</v>
      </c>
      <c r="H1205" s="6">
        <v>1502</v>
      </c>
      <c r="I1205" s="65">
        <v>-9.2306239525928167</v>
      </c>
      <c r="J1205" s="6">
        <f>VLOOKUP($D1205,Sheet1!$A$5:$C$192,3,TRUE)</f>
        <v>7</v>
      </c>
      <c r="K1205" s="42" t="str">
        <f>VLOOKUP($D1205,Sheet1!$A$5:$C$192,2,TRUE)</f>
        <v>(|(</v>
      </c>
      <c r="L1205" s="6">
        <f>FLOOR(VLOOKUP($D1205,Sheet1!$D$5:$F$192,3,TRUE),1)</f>
        <v>15</v>
      </c>
      <c r="M1205" s="42" t="str">
        <f>VLOOKUP($D1205,Sheet1!$D$5:$F$192,2,TRUE)</f>
        <v>~|)</v>
      </c>
      <c r="N1205" s="23">
        <f>FLOOR(VLOOKUP($D1205,Sheet1!$G$5:$I$192,3,TRUE),1)</f>
        <v>18</v>
      </c>
      <c r="O1205" s="42" t="str">
        <f>VLOOKUP($D1205,Sheet1!$G$5:$I$192,2,TRUE)</f>
        <v>~|)</v>
      </c>
      <c r="P1205" s="23">
        <v>1</v>
      </c>
      <c r="Q1205" s="43" t="str">
        <f>VLOOKUP($D1205,Sheet1!$J$5:$L$192,2,TRUE)</f>
        <v>~|)'</v>
      </c>
      <c r="R1205" s="23">
        <f>FLOOR(VLOOKUP($D1205,Sheet1!$M$5:$O$192,3,TRUE),1)</f>
        <v>74</v>
      </c>
      <c r="S1205" s="42" t="str">
        <f>VLOOKUP($D1205,Sheet1!$M$5:$O$192,2,TRUE)</f>
        <v>~|)'</v>
      </c>
      <c r="T1205" s="117">
        <f>IF(ABS(D1205-VLOOKUP($D1205,Sheet1!$M$5:$T$192,8,TRUE))&lt;10^-10,"SoCA",D1205-VLOOKUP($D1205,Sheet1!$M$5:$T$192,8,TRUE))</f>
        <v>0.10739998446738497</v>
      </c>
      <c r="U1205" s="109">
        <f>IF(VLOOKUP($D1205,Sheet1!$M$5:$U$192,9,TRUE)=0,"",IF(ABS(D1205-VLOOKUP($D1205,Sheet1!$M$5:$U$192,9,TRUE))&lt;10^-10,"Alt.",D1205-VLOOKUP($D1205,Sheet1!$M$5:$U$192,9,TRUE)))</f>
        <v>0.13436027966982067</v>
      </c>
      <c r="V1205" s="132">
        <f>$D1205-Sheet1!$M$3*$R1205</f>
        <v>0.12096063413996916</v>
      </c>
      <c r="Z1205" s="6"/>
      <c r="AA1205" s="61"/>
    </row>
    <row r="1206" spans="1:27" ht="13.5">
      <c r="A1206" s="87" t="s">
        <v>144</v>
      </c>
      <c r="B1206" s="87">
        <f>2^10*23</f>
        <v>23552</v>
      </c>
      <c r="C1206" s="87">
        <f>3^7*11</f>
        <v>24057</v>
      </c>
      <c r="D1206" s="13">
        <f t="shared" si="24"/>
        <v>36.728601154053287</v>
      </c>
      <c r="E1206" s="61">
        <v>23</v>
      </c>
      <c r="F1206" s="65">
        <v>35.531194724326909</v>
      </c>
      <c r="G1206" s="6">
        <v>113</v>
      </c>
      <c r="H1206" s="6">
        <v>106</v>
      </c>
      <c r="I1206" s="65">
        <v>4.7384862173657565</v>
      </c>
      <c r="J1206" s="6">
        <f>VLOOKUP($D1206,Sheet1!$A$5:$C$192,3,TRUE)</f>
        <v>7</v>
      </c>
      <c r="K1206" s="42" t="str">
        <f>VLOOKUP($D1206,Sheet1!$A$5:$C$192,2,TRUE)</f>
        <v>(|(</v>
      </c>
      <c r="L1206" s="6">
        <f>FLOOR(VLOOKUP($D1206,Sheet1!$D$5:$F$192,3,TRUE),1)</f>
        <v>15</v>
      </c>
      <c r="M1206" s="42" t="str">
        <f>VLOOKUP($D1206,Sheet1!$D$5:$F$192,2,TRUE)</f>
        <v>~|)</v>
      </c>
      <c r="N1206" s="23">
        <f>FLOOR(VLOOKUP($D1206,Sheet1!$G$5:$I$192,3,TRUE),1)</f>
        <v>19</v>
      </c>
      <c r="O1206" s="42" t="str">
        <f>VLOOKUP($D1206,Sheet1!$G$5:$I$192,2,TRUE)</f>
        <v>.(|(</v>
      </c>
      <c r="P1206" s="23">
        <v>1</v>
      </c>
      <c r="Q1206" s="45" t="str">
        <f>VLOOKUP($D1206,Sheet1!$J$5:$L$192,2,TRUE)</f>
        <v>.(|(.</v>
      </c>
      <c r="R1206" s="38">
        <f>FLOOR(VLOOKUP($D1206,Sheet1!$M$5:$O$192,3,TRUE),1)</f>
        <v>75</v>
      </c>
      <c r="S1206" s="45" t="str">
        <f>VLOOKUP($D1206,Sheet1!$M$5:$O$192,2,TRUE)</f>
        <v>.(|(.</v>
      </c>
      <c r="T1206" s="108">
        <f>IF(ABS(D1206-VLOOKUP($D1206,Sheet1!$M$5:$T$192,8,TRUE))&lt;10^-10,"SoCA",D1206-VLOOKUP($D1206,Sheet1!$M$5:$T$192,8,TRUE))</f>
        <v>0.19926487708935525</v>
      </c>
      <c r="U1206" s="108">
        <f>IF(VLOOKUP($D1206,Sheet1!$M$5:$U$192,9,TRUE)=0,"",IF(ABS(D1206-VLOOKUP($D1206,Sheet1!$M$5:$U$192,9,TRUE))&lt;10^-10,"Alt.",D1206-VLOOKUP($D1206,Sheet1!$M$5:$U$192,9,TRUE)))</f>
        <v>0.17230458188691955</v>
      </c>
      <c r="V1206" s="132">
        <f>$D1206-Sheet1!$M$3*$R1206</f>
        <v>0.13471508397434206</v>
      </c>
      <c r="Z1206" s="6"/>
      <c r="AA1206" s="61"/>
    </row>
    <row r="1207" spans="1:27" ht="13.5">
      <c r="A1207" s="6" t="s">
        <v>419</v>
      </c>
      <c r="B1207" s="6">
        <f>2^2*5*7</f>
        <v>140</v>
      </c>
      <c r="C1207" s="6">
        <f>11*13</f>
        <v>143</v>
      </c>
      <c r="D1207" s="13">
        <f t="shared" si="24"/>
        <v>36.705983800107418</v>
      </c>
      <c r="E1207" s="61">
        <v>13</v>
      </c>
      <c r="F1207" s="65">
        <v>36.058178252360136</v>
      </c>
      <c r="G1207" s="6">
        <v>288</v>
      </c>
      <c r="H1207" s="6">
        <v>257</v>
      </c>
      <c r="I1207" s="65">
        <v>-2.2601211497522895</v>
      </c>
      <c r="J1207" s="6">
        <f>VLOOKUP($D1207,Sheet1!$A$5:$C$192,3,TRUE)</f>
        <v>7</v>
      </c>
      <c r="K1207" s="42" t="str">
        <f>VLOOKUP($D1207,Sheet1!$A$5:$C$192,2,TRUE)</f>
        <v>(|(</v>
      </c>
      <c r="L1207" s="6">
        <f>FLOOR(VLOOKUP($D1207,Sheet1!$D$5:$F$192,3,TRUE),1)</f>
        <v>15</v>
      </c>
      <c r="M1207" s="42" t="str">
        <f>VLOOKUP($D1207,Sheet1!$D$5:$F$192,2,TRUE)</f>
        <v>~|)</v>
      </c>
      <c r="N1207" s="23">
        <f>FLOOR(VLOOKUP($D1207,Sheet1!$G$5:$I$192,3,TRUE),1)</f>
        <v>19</v>
      </c>
      <c r="O1207" s="42" t="str">
        <f>VLOOKUP($D1207,Sheet1!$G$5:$I$192,2,TRUE)</f>
        <v>.(|(</v>
      </c>
      <c r="P1207" s="23">
        <v>1</v>
      </c>
      <c r="Q1207" s="43" t="str">
        <f>VLOOKUP($D1207,Sheet1!$J$5:$L$192,2,TRUE)</f>
        <v>.(|(.</v>
      </c>
      <c r="R1207" s="23">
        <f>FLOOR(VLOOKUP($D1207,Sheet1!$M$5:$O$192,3,TRUE),1)</f>
        <v>75</v>
      </c>
      <c r="S1207" s="42" t="str">
        <f>VLOOKUP($D1207,Sheet1!$M$5:$O$192,2,TRUE)</f>
        <v>.(|(.</v>
      </c>
      <c r="T1207" s="117">
        <f>IF(ABS(D1207-VLOOKUP($D1207,Sheet1!$M$5:$T$192,8,TRUE))&lt;10^-10,"SoCA",D1207-VLOOKUP($D1207,Sheet1!$M$5:$T$192,8,TRUE))</f>
        <v>0.17664752314348675</v>
      </c>
      <c r="U1207" s="109">
        <f>IF(VLOOKUP($D1207,Sheet1!$M$5:$U$192,9,TRUE)=0,"",IF(ABS(D1207-VLOOKUP($D1207,Sheet1!$M$5:$U$192,9,TRUE))&lt;10^-10,"Alt.",D1207-VLOOKUP($D1207,Sheet1!$M$5:$U$192,9,TRUE)))</f>
        <v>0.14968722794105105</v>
      </c>
      <c r="V1207" s="132">
        <f>$D1207-Sheet1!$M$3*$R1207</f>
        <v>0.11209773002847356</v>
      </c>
      <c r="Z1207" s="6"/>
      <c r="AA1207" s="61"/>
    </row>
    <row r="1208" spans="1:27" ht="13.5">
      <c r="A1208" s="23" t="s">
        <v>308</v>
      </c>
      <c r="B1208" s="23">
        <f>2^5*19</f>
        <v>608</v>
      </c>
      <c r="C1208" s="23">
        <f>3^3*23</f>
        <v>621</v>
      </c>
      <c r="D1208" s="13">
        <f t="shared" si="24"/>
        <v>36.626333732275008</v>
      </c>
      <c r="E1208" s="61">
        <v>23</v>
      </c>
      <c r="F1208" s="65">
        <v>42.101134965247766</v>
      </c>
      <c r="G1208" s="6">
        <v>158</v>
      </c>
      <c r="H1208" s="6">
        <v>137</v>
      </c>
      <c r="I1208" s="65">
        <v>0.74478319510514712</v>
      </c>
      <c r="J1208" s="6">
        <f>VLOOKUP($D1208,Sheet1!$A$5:$C$192,3,TRUE)</f>
        <v>7</v>
      </c>
      <c r="K1208" s="42" t="str">
        <f>VLOOKUP($D1208,Sheet1!$A$5:$C$192,2,TRUE)</f>
        <v>(|(</v>
      </c>
      <c r="L1208" s="6">
        <f>FLOOR(VLOOKUP($D1208,Sheet1!$D$5:$F$192,3,TRUE),1)</f>
        <v>15</v>
      </c>
      <c r="M1208" s="42" t="str">
        <f>VLOOKUP($D1208,Sheet1!$D$5:$F$192,2,TRUE)</f>
        <v>~|)</v>
      </c>
      <c r="N1208" s="23">
        <f>FLOOR(VLOOKUP($D1208,Sheet1!$G$5:$I$192,3,TRUE),1)</f>
        <v>19</v>
      </c>
      <c r="O1208" s="42" t="str">
        <f>VLOOKUP($D1208,Sheet1!$G$5:$I$192,2,TRUE)</f>
        <v>.(|(</v>
      </c>
      <c r="P1208" s="23">
        <v>1</v>
      </c>
      <c r="Q1208" s="43" t="str">
        <f>VLOOKUP($D1208,Sheet1!$J$5:$L$192,2,TRUE)</f>
        <v>.(|(.</v>
      </c>
      <c r="R1208" s="23">
        <f>FLOOR(VLOOKUP($D1208,Sheet1!$M$5:$O$192,3,TRUE),1)</f>
        <v>75</v>
      </c>
      <c r="S1208" s="43" t="str">
        <f>VLOOKUP($D1208,Sheet1!$M$5:$O$192,2,TRUE)</f>
        <v>.(|(.</v>
      </c>
      <c r="T1208" s="117">
        <f>IF(ABS(D1208-VLOOKUP($D1208,Sheet1!$M$5:$T$192,8,TRUE))&lt;10^-10,"SoCA",D1208-VLOOKUP($D1208,Sheet1!$M$5:$T$192,8,TRUE))</f>
        <v>9.6997455311075953E-2</v>
      </c>
      <c r="U1208" s="117">
        <f>IF(VLOOKUP($D1208,Sheet1!$M$5:$U$192,9,TRUE)=0,"",IF(ABS(D1208-VLOOKUP($D1208,Sheet1!$M$5:$U$192,9,TRUE))&lt;10^-10,"Alt.",D1208-VLOOKUP($D1208,Sheet1!$M$5:$U$192,9,TRUE)))</f>
        <v>7.0037160108640251E-2</v>
      </c>
      <c r="V1208" s="132">
        <f>$D1208-Sheet1!$M$3*$R1208</f>
        <v>3.2447662196062765E-2</v>
      </c>
      <c r="Z1208" s="6"/>
      <c r="AA1208" s="61"/>
    </row>
    <row r="1209" spans="1:27" ht="13.5">
      <c r="A1209" s="23" t="s">
        <v>932</v>
      </c>
      <c r="B1209" s="23">
        <f>3^4*11</f>
        <v>891</v>
      </c>
      <c r="C1209" s="23">
        <f>2*5*7*13</f>
        <v>910</v>
      </c>
      <c r="D1209" s="13">
        <f t="shared" si="24"/>
        <v>36.529336276963988</v>
      </c>
      <c r="E1209" s="61">
        <v>13</v>
      </c>
      <c r="F1209" s="65">
        <v>51.325067957181766</v>
      </c>
      <c r="G1209" s="6">
        <v>663</v>
      </c>
      <c r="H1209" s="6">
        <v>780</v>
      </c>
      <c r="I1209" s="65">
        <v>-6.2492443181903834</v>
      </c>
      <c r="J1209" s="6">
        <f>VLOOKUP($D1209,Sheet1!$A$5:$C$192,3,TRUE)</f>
        <v>7</v>
      </c>
      <c r="K1209" s="42" t="str">
        <f>VLOOKUP($D1209,Sheet1!$A$5:$C$192,2,TRUE)</f>
        <v>(|(</v>
      </c>
      <c r="L1209" s="6">
        <f>FLOOR(VLOOKUP($D1209,Sheet1!$D$5:$F$192,3,TRUE),1)</f>
        <v>15</v>
      </c>
      <c r="M1209" s="42" t="str">
        <f>VLOOKUP($D1209,Sheet1!$D$5:$F$192,2,TRUE)</f>
        <v>~|)</v>
      </c>
      <c r="N1209" s="23">
        <f>FLOOR(VLOOKUP($D1209,Sheet1!$G$5:$I$192,3,TRUE),1)</f>
        <v>18</v>
      </c>
      <c r="O1209" s="42" t="str">
        <f>VLOOKUP($D1209,Sheet1!$G$5:$I$192,2,TRUE)</f>
        <v>~|)</v>
      </c>
      <c r="P1209" s="23">
        <v>1</v>
      </c>
      <c r="Q1209" s="43" t="str">
        <f>VLOOKUP($D1209,Sheet1!$J$5:$L$192,2,TRUE)</f>
        <v>~|)''</v>
      </c>
      <c r="R1209" s="23">
        <f>FLOOR(VLOOKUP($D1209,Sheet1!$M$5:$O$192,3,TRUE),1)</f>
        <v>75</v>
      </c>
      <c r="S1209" s="43" t="str">
        <f>VLOOKUP($D1209,Sheet1!$M$5:$O$192,2,TRUE)</f>
        <v>~|)''</v>
      </c>
      <c r="T1209" s="124" t="str">
        <f>IF(ABS(D1209-VLOOKUP($D1209,Sheet1!$M$5:$T$192,8,TRUE))&lt;10^-10,"SoCA",D1209-VLOOKUP($D1209,Sheet1!$M$5:$T$192,8,TRUE))</f>
        <v>SoCA</v>
      </c>
      <c r="U1209" s="117">
        <f>IF(VLOOKUP($D1209,Sheet1!$M$5:$U$192,9,TRUE)=0,"",IF(ABS(D1209-VLOOKUP($D1209,Sheet1!$M$5:$U$192,9,TRUE))&lt;10^-10,"Alt.",D1209-VLOOKUP($D1209,Sheet1!$M$5:$U$192,9,TRUE)))</f>
        <v>1.4052167394524417E-2</v>
      </c>
      <c r="V1209" s="134">
        <f>$D1209-Sheet1!$M$3*$R1209</f>
        <v>-6.4549793114956344E-2</v>
      </c>
      <c r="Z1209" s="6"/>
      <c r="AA1209" s="61"/>
    </row>
    <row r="1210" spans="1:27" ht="13.5">
      <c r="A1210" s="87" t="s">
        <v>266</v>
      </c>
      <c r="B1210" s="87">
        <f>47</f>
        <v>47</v>
      </c>
      <c r="C1210" s="87">
        <f>2^4*3</f>
        <v>48</v>
      </c>
      <c r="D1210" s="13">
        <f t="shared" si="24"/>
        <v>36.448378852222433</v>
      </c>
      <c r="E1210" s="61">
        <v>47</v>
      </c>
      <c r="F1210" s="65">
        <v>56.4469652679172</v>
      </c>
      <c r="G1210" s="6">
        <v>72</v>
      </c>
      <c r="H1210" s="6">
        <v>66</v>
      </c>
      <c r="I1210" s="65">
        <v>-1.2442594746050899</v>
      </c>
      <c r="J1210" s="6">
        <f>VLOOKUP($D1210,Sheet1!$A$5:$C$192,3,TRUE)</f>
        <v>7</v>
      </c>
      <c r="K1210" s="42" t="str">
        <f>VLOOKUP($D1210,Sheet1!$A$5:$C$192,2,TRUE)</f>
        <v>(|(</v>
      </c>
      <c r="L1210" s="6">
        <f>FLOOR(VLOOKUP($D1210,Sheet1!$D$5:$F$192,3,TRUE),1)</f>
        <v>15</v>
      </c>
      <c r="M1210" s="42" t="str">
        <f>VLOOKUP($D1210,Sheet1!$D$5:$F$192,2,TRUE)</f>
        <v>~|)</v>
      </c>
      <c r="N1210" s="23">
        <f>FLOOR(VLOOKUP($D1210,Sheet1!$G$5:$I$192,3,TRUE),1)</f>
        <v>18</v>
      </c>
      <c r="O1210" s="42" t="str">
        <f>VLOOKUP($D1210,Sheet1!$G$5:$I$192,2,TRUE)</f>
        <v>~|)</v>
      </c>
      <c r="P1210" s="23">
        <v>1</v>
      </c>
      <c r="Q1210" s="45" t="str">
        <f>VLOOKUP($D1210,Sheet1!$J$5:$L$192,2,TRUE)</f>
        <v>~|)''</v>
      </c>
      <c r="R1210" s="38">
        <f>FLOOR(VLOOKUP($D1210,Sheet1!$M$5:$O$192,3,TRUE),1)</f>
        <v>75</v>
      </c>
      <c r="S1210" s="45" t="str">
        <f>VLOOKUP($D1210,Sheet1!$M$5:$O$192,2,TRUE)</f>
        <v>~|)''</v>
      </c>
      <c r="T1210" s="108">
        <f>IF(ABS(D1210-VLOOKUP($D1210,Sheet1!$M$5:$T$192,8,TRUE))&lt;10^-10,"SoCA",D1210-VLOOKUP($D1210,Sheet1!$M$5:$T$192,8,TRUE))</f>
        <v>-8.0957424741484374E-2</v>
      </c>
      <c r="U1210" s="108">
        <f>IF(VLOOKUP($D1210,Sheet1!$M$5:$U$192,9,TRUE)=0,"",IF(ABS(D1210-VLOOKUP($D1210,Sheet1!$M$5:$U$192,9,TRUE))&lt;10^-10,"Alt.",D1210-VLOOKUP($D1210,Sheet1!$M$5:$U$192,9,TRUE)))</f>
        <v>-6.6905257347031011E-2</v>
      </c>
      <c r="V1210" s="133">
        <f>$D1210-Sheet1!$M$3*$R1210</f>
        <v>-0.14550721785651177</v>
      </c>
      <c r="Z1210" s="6"/>
      <c r="AA1210" s="61"/>
    </row>
    <row r="1211" spans="1:27" ht="13.5">
      <c r="A1211" t="s">
        <v>1491</v>
      </c>
      <c r="B1211">
        <v>2023424</v>
      </c>
      <c r="C1211">
        <v>2066715</v>
      </c>
      <c r="D1211" s="13">
        <f t="shared" si="24"/>
        <v>36.648951086220691</v>
      </c>
      <c r="E1211" s="61">
        <v>19</v>
      </c>
      <c r="F1211" s="65">
        <v>57.095151356974355</v>
      </c>
      <c r="G1211" s="6">
        <v>1403</v>
      </c>
      <c r="H1211" s="6">
        <v>1340</v>
      </c>
      <c r="I1211" s="65">
        <v>7.7433905622232047</v>
      </c>
      <c r="J1211" s="6">
        <f>VLOOKUP($D1211,Sheet1!$A$5:$C$192,3,TRUE)</f>
        <v>7</v>
      </c>
      <c r="K1211" s="42" t="str">
        <f>VLOOKUP($D1211,Sheet1!$A$5:$C$192,2,TRUE)</f>
        <v>(|(</v>
      </c>
      <c r="L1211" s="6">
        <f>FLOOR(VLOOKUP($D1211,Sheet1!$D$5:$F$192,3,TRUE),1)</f>
        <v>15</v>
      </c>
      <c r="M1211" s="42" t="str">
        <f>VLOOKUP($D1211,Sheet1!$D$5:$F$192,2,TRUE)</f>
        <v>~|)</v>
      </c>
      <c r="N1211" s="23">
        <f>FLOOR(VLOOKUP($D1211,Sheet1!$G$5:$I$192,3,TRUE),1)</f>
        <v>19</v>
      </c>
      <c r="O1211" s="42" t="str">
        <f>VLOOKUP($D1211,Sheet1!$G$5:$I$192,2,TRUE)</f>
        <v>.(|(</v>
      </c>
      <c r="P1211" s="23">
        <v>1</v>
      </c>
      <c r="Q1211" s="43" t="str">
        <f>VLOOKUP($D1211,Sheet1!$J$5:$L$192,2,TRUE)</f>
        <v>.(|(.</v>
      </c>
      <c r="R1211" s="23">
        <f>FLOOR(VLOOKUP($D1211,Sheet1!$M$5:$O$192,3,TRUE),1)</f>
        <v>75</v>
      </c>
      <c r="S1211" s="42" t="str">
        <f>VLOOKUP($D1211,Sheet1!$M$5:$O$192,2,TRUE)</f>
        <v>.(|(.</v>
      </c>
      <c r="T1211" s="117">
        <f>IF(ABS(D1211-VLOOKUP($D1211,Sheet1!$M$5:$T$192,8,TRUE))&lt;10^-10,"SoCA",D1211-VLOOKUP($D1211,Sheet1!$M$5:$T$192,8,TRUE))</f>
        <v>0.11961480925675971</v>
      </c>
      <c r="U1211" s="109">
        <f>IF(VLOOKUP($D1211,Sheet1!$M$5:$U$192,9,TRUE)=0,"",IF(ABS(D1211-VLOOKUP($D1211,Sheet1!$M$5:$U$192,9,TRUE))&lt;10^-10,"Alt.",D1211-VLOOKUP($D1211,Sheet1!$M$5:$U$192,9,TRUE)))</f>
        <v>9.2654514054324011E-2</v>
      </c>
      <c r="V1211" s="132">
        <f>$D1211-Sheet1!$M$3*$R1211</f>
        <v>5.5065016141746526E-2</v>
      </c>
      <c r="Z1211" s="6"/>
      <c r="AA1211" s="61"/>
    </row>
    <row r="1212" spans="1:27" ht="13.5">
      <c r="A1212" t="s">
        <v>1596</v>
      </c>
      <c r="B1212">
        <v>23068672</v>
      </c>
      <c r="C1212">
        <v>23560551</v>
      </c>
      <c r="D1212" s="13">
        <f t="shared" si="24"/>
        <v>36.525989755932585</v>
      </c>
      <c r="E1212" s="61">
        <v>19</v>
      </c>
      <c r="F1212" s="65">
        <v>69.48387312601065</v>
      </c>
      <c r="G1212" s="6">
        <v>1503</v>
      </c>
      <c r="H1212" s="6">
        <v>1445</v>
      </c>
      <c r="I1212" s="65">
        <v>8.7509617393015589</v>
      </c>
      <c r="J1212" s="6">
        <f>VLOOKUP($D1212,Sheet1!$A$5:$C$192,3,TRUE)</f>
        <v>7</v>
      </c>
      <c r="K1212" s="42" t="str">
        <f>VLOOKUP($D1212,Sheet1!$A$5:$C$192,2,TRUE)</f>
        <v>(|(</v>
      </c>
      <c r="L1212" s="6">
        <f>FLOOR(VLOOKUP($D1212,Sheet1!$D$5:$F$192,3,TRUE),1)</f>
        <v>15</v>
      </c>
      <c r="M1212" s="42" t="str">
        <f>VLOOKUP($D1212,Sheet1!$D$5:$F$192,2,TRUE)</f>
        <v>~|)</v>
      </c>
      <c r="N1212" s="23">
        <f>FLOOR(VLOOKUP($D1212,Sheet1!$G$5:$I$192,3,TRUE),1)</f>
        <v>18</v>
      </c>
      <c r="O1212" s="42" t="str">
        <f>VLOOKUP($D1212,Sheet1!$G$5:$I$192,2,TRUE)</f>
        <v>~|)</v>
      </c>
      <c r="P1212" s="23">
        <v>1</v>
      </c>
      <c r="Q1212" s="43" t="str">
        <f>VLOOKUP($D1212,Sheet1!$J$5:$L$192,2,TRUE)</f>
        <v>~|)''</v>
      </c>
      <c r="R1212" s="23">
        <f>FLOOR(VLOOKUP($D1212,Sheet1!$M$5:$O$192,3,TRUE),1)</f>
        <v>75</v>
      </c>
      <c r="S1212" s="42" t="str">
        <f>VLOOKUP($D1212,Sheet1!$M$5:$O$192,2,TRUE)</f>
        <v>~|)''</v>
      </c>
      <c r="T1212" s="117">
        <f>IF(ABS(D1212-VLOOKUP($D1212,Sheet1!$M$5:$T$192,8,TRUE))&lt;10^-10,"SoCA",D1212-VLOOKUP($D1212,Sheet1!$M$5:$T$192,8,TRUE))</f>
        <v>-3.3465210313323723E-3</v>
      </c>
      <c r="U1212" s="109">
        <f>IF(VLOOKUP($D1212,Sheet1!$M$5:$U$192,9,TRUE)=0,"",IF(ABS(D1212-VLOOKUP($D1212,Sheet1!$M$5:$U$192,9,TRUE))&lt;10^-10,"Alt.",D1212-VLOOKUP($D1212,Sheet1!$M$5:$U$192,9,TRUE)))</f>
        <v>1.0705646363120991E-2</v>
      </c>
      <c r="V1212" s="132">
        <f>$D1212-Sheet1!$M$3*$R1212</f>
        <v>-6.7896314146359771E-2</v>
      </c>
      <c r="Z1212" s="6"/>
      <c r="AA1212" s="61"/>
    </row>
    <row r="1213" spans="1:27" ht="13.5">
      <c r="A1213" t="s">
        <v>1598</v>
      </c>
      <c r="B1213">
        <v>867328</v>
      </c>
      <c r="C1213">
        <v>885735</v>
      </c>
      <c r="D1213" s="13">
        <f t="shared" si="24"/>
        <v>36.356932185458149</v>
      </c>
      <c r="E1213" s="61">
        <v>11</v>
      </c>
      <c r="F1213" s="65">
        <v>72.166712510169887</v>
      </c>
      <c r="G1213" s="6">
        <v>1505</v>
      </c>
      <c r="H1213" s="6">
        <v>1447</v>
      </c>
      <c r="I1213" s="65">
        <v>8.761371229825933</v>
      </c>
      <c r="J1213" s="6">
        <f>VLOOKUP($D1213,Sheet1!$A$5:$C$192,3,TRUE)</f>
        <v>7</v>
      </c>
      <c r="K1213" s="42" t="str">
        <f>VLOOKUP($D1213,Sheet1!$A$5:$C$192,2,TRUE)</f>
        <v>(|(</v>
      </c>
      <c r="L1213" s="6">
        <f>FLOOR(VLOOKUP($D1213,Sheet1!$D$5:$F$192,3,TRUE),1)</f>
        <v>15</v>
      </c>
      <c r="M1213" s="42" t="str">
        <f>VLOOKUP($D1213,Sheet1!$D$5:$F$192,2,TRUE)</f>
        <v>~|)</v>
      </c>
      <c r="N1213" s="23">
        <f>FLOOR(VLOOKUP($D1213,Sheet1!$G$5:$I$192,3,TRUE),1)</f>
        <v>18</v>
      </c>
      <c r="O1213" s="42" t="str">
        <f>VLOOKUP($D1213,Sheet1!$G$5:$I$192,2,TRUE)</f>
        <v>~|)</v>
      </c>
      <c r="P1213" s="23">
        <v>1</v>
      </c>
      <c r="Q1213" s="43" t="str">
        <f>VLOOKUP($D1213,Sheet1!$J$5:$L$192,2,TRUE)</f>
        <v>~|)''</v>
      </c>
      <c r="R1213" s="23">
        <f>FLOOR(VLOOKUP($D1213,Sheet1!$M$5:$O$192,3,TRUE),1)</f>
        <v>75</v>
      </c>
      <c r="S1213" s="42" t="str">
        <f>VLOOKUP($D1213,Sheet1!$M$5:$O$192,2,TRUE)</f>
        <v>~|)''</v>
      </c>
      <c r="T1213" s="117">
        <f>IF(ABS(D1213-VLOOKUP($D1213,Sheet1!$M$5:$T$192,8,TRUE))&lt;10^-10,"SoCA",D1213-VLOOKUP($D1213,Sheet1!$M$5:$T$192,8,TRUE))</f>
        <v>-0.17240409150576852</v>
      </c>
      <c r="U1213" s="109">
        <f>IF(VLOOKUP($D1213,Sheet1!$M$5:$U$192,9,TRUE)=0,"",IF(ABS(D1213-VLOOKUP($D1213,Sheet1!$M$5:$U$192,9,TRUE))&lt;10^-10,"Alt.",D1213-VLOOKUP($D1213,Sheet1!$M$5:$U$192,9,TRUE)))</f>
        <v>-0.15835192411131516</v>
      </c>
      <c r="V1213" s="132">
        <f>$D1213-Sheet1!$M$3*$R1213</f>
        <v>-0.23695388462079592</v>
      </c>
      <c r="Z1213" s="6"/>
      <c r="AA1213" s="61"/>
    </row>
    <row r="1214" spans="1:27" ht="13.5">
      <c r="A1214" t="s">
        <v>705</v>
      </c>
      <c r="B1214">
        <v>3321</v>
      </c>
      <c r="C1214">
        <v>3392</v>
      </c>
      <c r="D1214" s="13">
        <f t="shared" si="24"/>
        <v>36.622136472588963</v>
      </c>
      <c r="E1214" s="61" t="s">
        <v>1931</v>
      </c>
      <c r="F1214" s="65">
        <v>95.164557085504612</v>
      </c>
      <c r="G1214" s="6">
        <v>568</v>
      </c>
      <c r="H1214" s="6">
        <v>550</v>
      </c>
      <c r="I1214" s="65">
        <v>-6.2549583643245334</v>
      </c>
      <c r="J1214" s="6">
        <f>VLOOKUP($D1214,Sheet1!$A$5:$C$192,3,TRUE)</f>
        <v>7</v>
      </c>
      <c r="K1214" s="42" t="str">
        <f>VLOOKUP($D1214,Sheet1!$A$5:$C$192,2,TRUE)</f>
        <v>(|(</v>
      </c>
      <c r="L1214" s="6">
        <f>FLOOR(VLOOKUP($D1214,Sheet1!$D$5:$F$192,3,TRUE),1)</f>
        <v>15</v>
      </c>
      <c r="M1214" s="42" t="str">
        <f>VLOOKUP($D1214,Sheet1!$D$5:$F$192,2,TRUE)</f>
        <v>~|)</v>
      </c>
      <c r="N1214" s="23">
        <f>FLOOR(VLOOKUP($D1214,Sheet1!$G$5:$I$192,3,TRUE),1)</f>
        <v>19</v>
      </c>
      <c r="O1214" s="42" t="str">
        <f>VLOOKUP($D1214,Sheet1!$G$5:$I$192,2,TRUE)</f>
        <v>.(|(</v>
      </c>
      <c r="P1214" s="23">
        <v>1</v>
      </c>
      <c r="Q1214" s="43" t="str">
        <f>VLOOKUP($D1214,Sheet1!$J$5:$L$192,2,TRUE)</f>
        <v>.(|(.</v>
      </c>
      <c r="R1214" s="23">
        <f>FLOOR(VLOOKUP($D1214,Sheet1!$M$5:$O$192,3,TRUE),1)</f>
        <v>75</v>
      </c>
      <c r="S1214" s="42" t="str">
        <f>VLOOKUP($D1214,Sheet1!$M$5:$O$192,2,TRUE)</f>
        <v>.(|(.</v>
      </c>
      <c r="T1214" s="117">
        <f>IF(ABS(D1214-VLOOKUP($D1214,Sheet1!$M$5:$T$192,8,TRUE))&lt;10^-10,"SoCA",D1214-VLOOKUP($D1214,Sheet1!$M$5:$T$192,8,TRUE))</f>
        <v>9.2800195625031279E-2</v>
      </c>
      <c r="U1214" s="109">
        <f>IF(VLOOKUP($D1214,Sheet1!$M$5:$U$192,9,TRUE)=0,"",IF(ABS(D1214-VLOOKUP($D1214,Sheet1!$M$5:$U$192,9,TRUE))&lt;10^-10,"Alt.",D1214-VLOOKUP($D1214,Sheet1!$M$5:$U$192,9,TRUE)))</f>
        <v>6.5839900422595576E-2</v>
      </c>
      <c r="V1214" s="132">
        <f>$D1214-Sheet1!$M$3*$R1214</f>
        <v>2.8250402510018091E-2</v>
      </c>
      <c r="Z1214" s="6"/>
      <c r="AA1214" s="61"/>
    </row>
    <row r="1215" spans="1:27" ht="13.5">
      <c r="A1215" t="s">
        <v>1231</v>
      </c>
      <c r="B1215">
        <v>11272192</v>
      </c>
      <c r="C1215">
        <v>11514555</v>
      </c>
      <c r="D1215" s="13">
        <f t="shared" si="24"/>
        <v>36.828679510889359</v>
      </c>
      <c r="E1215" s="61">
        <v>43</v>
      </c>
      <c r="F1215" s="65">
        <v>101.50415647372532</v>
      </c>
      <c r="G1215" s="6">
        <v>865</v>
      </c>
      <c r="H1215" s="6">
        <v>1080</v>
      </c>
      <c r="I1215" s="65">
        <v>8.7323240283300549</v>
      </c>
      <c r="J1215" s="6">
        <f>VLOOKUP($D1215,Sheet1!$A$5:$C$192,3,TRUE)</f>
        <v>7</v>
      </c>
      <c r="K1215" s="42" t="str">
        <f>VLOOKUP($D1215,Sheet1!$A$5:$C$192,2,TRUE)</f>
        <v>(|(</v>
      </c>
      <c r="L1215" s="6">
        <f>FLOOR(VLOOKUP($D1215,Sheet1!$D$5:$F$192,3,TRUE),1)</f>
        <v>15</v>
      </c>
      <c r="M1215" s="42" t="str">
        <f>VLOOKUP($D1215,Sheet1!$D$5:$F$192,2,TRUE)</f>
        <v>~|)</v>
      </c>
      <c r="N1215" s="23">
        <f>FLOOR(VLOOKUP($D1215,Sheet1!$G$5:$I$192,3,TRUE),1)</f>
        <v>19</v>
      </c>
      <c r="O1215" s="42" t="str">
        <f>VLOOKUP($D1215,Sheet1!$G$5:$I$192,2,TRUE)</f>
        <v>.(|(</v>
      </c>
      <c r="P1215" s="23">
        <v>1</v>
      </c>
      <c r="Q1215" s="43" t="str">
        <f>VLOOKUP($D1215,Sheet1!$J$5:$L$192,2,TRUE)</f>
        <v>.(|(.</v>
      </c>
      <c r="R1215" s="23">
        <f>FLOOR(VLOOKUP($D1215,Sheet1!$M$5:$O$192,3,TRUE),1)</f>
        <v>75</v>
      </c>
      <c r="S1215" s="42" t="str">
        <f>VLOOKUP($D1215,Sheet1!$M$5:$O$192,2,TRUE)</f>
        <v>.(|(.</v>
      </c>
      <c r="T1215" s="117">
        <f>IF(ABS(D1215-VLOOKUP($D1215,Sheet1!$M$5:$T$192,8,TRUE))&lt;10^-10,"SoCA",D1215-VLOOKUP($D1215,Sheet1!$M$5:$T$192,8,TRUE))</f>
        <v>0.29934323392542694</v>
      </c>
      <c r="U1215" s="109">
        <f>IF(VLOOKUP($D1215,Sheet1!$M$5:$U$192,9,TRUE)=0,"",IF(ABS(D1215-VLOOKUP($D1215,Sheet1!$M$5:$U$192,9,TRUE))&lt;10^-10,"Alt.",D1215-VLOOKUP($D1215,Sheet1!$M$5:$U$192,9,TRUE)))</f>
        <v>0.27238293872299124</v>
      </c>
      <c r="V1215" s="132">
        <f>$D1215-Sheet1!$M$3*$R1215</f>
        <v>0.23479344081041376</v>
      </c>
      <c r="Z1215" s="6"/>
      <c r="AA1215" s="61"/>
    </row>
    <row r="1216" spans="1:27" ht="13.5">
      <c r="A1216" t="s">
        <v>1250</v>
      </c>
      <c r="B1216">
        <v>513</v>
      </c>
      <c r="C1216">
        <v>524</v>
      </c>
      <c r="D1216" s="13">
        <f t="shared" si="24"/>
        <v>36.729583116475389</v>
      </c>
      <c r="E1216" s="61" t="s">
        <v>1931</v>
      </c>
      <c r="F1216" s="65">
        <v>150.64333708116257</v>
      </c>
      <c r="G1216" s="6">
        <v>1157</v>
      </c>
      <c r="H1216" s="6">
        <v>1099</v>
      </c>
      <c r="I1216" s="65">
        <v>-5.2615742456380561</v>
      </c>
      <c r="J1216" s="6">
        <f>VLOOKUP($D1216,Sheet1!$A$5:$C$192,3,TRUE)</f>
        <v>7</v>
      </c>
      <c r="K1216" s="42" t="str">
        <f>VLOOKUP($D1216,Sheet1!$A$5:$C$192,2,TRUE)</f>
        <v>(|(</v>
      </c>
      <c r="L1216" s="6">
        <f>FLOOR(VLOOKUP($D1216,Sheet1!$D$5:$F$192,3,TRUE),1)</f>
        <v>15</v>
      </c>
      <c r="M1216" s="42" t="str">
        <f>VLOOKUP($D1216,Sheet1!$D$5:$F$192,2,TRUE)</f>
        <v>~|)</v>
      </c>
      <c r="N1216" s="23">
        <f>FLOOR(VLOOKUP($D1216,Sheet1!$G$5:$I$192,3,TRUE),1)</f>
        <v>19</v>
      </c>
      <c r="O1216" s="42" t="str">
        <f>VLOOKUP($D1216,Sheet1!$G$5:$I$192,2,TRUE)</f>
        <v>.(|(</v>
      </c>
      <c r="P1216" s="23">
        <v>1</v>
      </c>
      <c r="Q1216" s="43" t="str">
        <f>VLOOKUP($D1216,Sheet1!$J$5:$L$192,2,TRUE)</f>
        <v>.(|(.</v>
      </c>
      <c r="R1216" s="23">
        <f>FLOOR(VLOOKUP($D1216,Sheet1!$M$5:$O$192,3,TRUE),1)</f>
        <v>75</v>
      </c>
      <c r="S1216" s="42" t="str">
        <f>VLOOKUP($D1216,Sheet1!$M$5:$O$192,2,TRUE)</f>
        <v>.(|(.</v>
      </c>
      <c r="T1216" s="117">
        <f>IF(ABS(D1216-VLOOKUP($D1216,Sheet1!$M$5:$T$192,8,TRUE))&lt;10^-10,"SoCA",D1216-VLOOKUP($D1216,Sheet1!$M$5:$T$192,8,TRUE))</f>
        <v>0.20024683951145761</v>
      </c>
      <c r="U1216" s="109">
        <f>IF(VLOOKUP($D1216,Sheet1!$M$5:$U$192,9,TRUE)=0,"",IF(ABS(D1216-VLOOKUP($D1216,Sheet1!$M$5:$U$192,9,TRUE))&lt;10^-10,"Alt.",D1216-VLOOKUP($D1216,Sheet1!$M$5:$U$192,9,TRUE)))</f>
        <v>0.17328654430902191</v>
      </c>
      <c r="V1216" s="132">
        <f>$D1216-Sheet1!$M$3*$R1216</f>
        <v>0.13569704639644442</v>
      </c>
      <c r="Z1216" s="6"/>
      <c r="AA1216" s="61"/>
    </row>
    <row r="1217" spans="1:27" ht="13.5">
      <c r="A1217" s="48" t="s">
        <v>146</v>
      </c>
      <c r="B1217" s="48">
        <f>3^6*11</f>
        <v>8019</v>
      </c>
      <c r="C1217" s="54">
        <f>2^13</f>
        <v>8192</v>
      </c>
      <c r="D1217" s="51">
        <f t="shared" si="24"/>
        <v>36.952052442918934</v>
      </c>
      <c r="E1217" s="61">
        <v>11</v>
      </c>
      <c r="F1217" s="65">
        <v>15.848395724046958</v>
      </c>
      <c r="G1217" s="6">
        <v>16</v>
      </c>
      <c r="H1217" s="6">
        <v>19</v>
      </c>
      <c r="I1217" s="65">
        <v>-8.2752724925670691</v>
      </c>
      <c r="J1217" s="6">
        <f>VLOOKUP($D1217,Sheet1!$A$5:$C$192,3,TRUE)</f>
        <v>7</v>
      </c>
      <c r="K1217" s="42" t="str">
        <f>VLOOKUP($D1217,Sheet1!$A$5:$C$192,2,TRUE)</f>
        <v>(|(</v>
      </c>
      <c r="L1217" s="6">
        <f>FLOOR(VLOOKUP($D1217,Sheet1!$D$5:$F$192,3,TRUE),1)</f>
        <v>15</v>
      </c>
      <c r="M1217" s="42" t="str">
        <f>VLOOKUP($D1217,Sheet1!$D$5:$F$192,2,TRUE)</f>
        <v>~|)</v>
      </c>
      <c r="N1217" s="39">
        <f>FLOOR(VLOOKUP($D1217,Sheet1!$G$5:$I$192,3,TRUE),1)</f>
        <v>19</v>
      </c>
      <c r="O1217" s="44" t="str">
        <f>VLOOKUP($D1217,Sheet1!$G$5:$I$192,2,TRUE)</f>
        <v>.(|(</v>
      </c>
      <c r="P1217" s="39">
        <v>1</v>
      </c>
      <c r="Q1217" s="44" t="str">
        <f>VLOOKUP($D1217,Sheet1!$J$5:$L$192,2,TRUE)</f>
        <v>.(|(</v>
      </c>
      <c r="R1217" s="39">
        <f>FLOOR(VLOOKUP($D1217,Sheet1!$M$5:$O$192,3,TRUE),1)</f>
        <v>76</v>
      </c>
      <c r="S1217" s="44" t="str">
        <f>VLOOKUP($D1217,Sheet1!$M$5:$O$192,2,TRUE)</f>
        <v>.(|(</v>
      </c>
      <c r="T1217" s="113" t="str">
        <f>IF(ABS(D1217-VLOOKUP($D1217,Sheet1!$M$5:$T$192,8,TRUE))&lt;10^-10,"SoCA",D1217-VLOOKUP($D1217,Sheet1!$M$5:$T$192,8,TRUE))</f>
        <v>SoCA</v>
      </c>
      <c r="U1217" s="118" t="str">
        <f>IF(VLOOKUP($D1217,Sheet1!$M$5:$U$192,9,TRUE)=0,"",IF(ABS(D1217-VLOOKUP($D1217,Sheet1!$M$5:$U$192,9,TRUE))&lt;10^-10,"Alt.",D1217-VLOOKUP($D1217,Sheet1!$M$5:$U$192,9,TRUE)))</f>
        <v/>
      </c>
      <c r="V1217" s="136">
        <f>$D1217-Sheet1!$M$3*$R1217</f>
        <v>-0.12975210809440085</v>
      </c>
      <c r="Z1217" s="6"/>
      <c r="AA1217" s="61"/>
    </row>
    <row r="1218" spans="1:27" ht="13.5">
      <c r="A1218" s="6" t="s">
        <v>292</v>
      </c>
      <c r="B1218" s="6">
        <f>2^14*7^2</f>
        <v>802816</v>
      </c>
      <c r="C1218" s="6">
        <f>3^8*5^3</f>
        <v>820125</v>
      </c>
      <c r="D1218" s="13">
        <f t="shared" si="24"/>
        <v>36.92933557935384</v>
      </c>
      <c r="E1218" s="61">
        <v>7</v>
      </c>
      <c r="F1218" s="65">
        <v>37.730283214670287</v>
      </c>
      <c r="G1218" s="6">
        <v>127</v>
      </c>
      <c r="H1218" s="6">
        <v>118</v>
      </c>
      <c r="I1218" s="65">
        <v>5.7261262674846742</v>
      </c>
      <c r="J1218" s="6">
        <f>VLOOKUP($D1218,Sheet1!$A$5:$C$192,3,TRUE)</f>
        <v>7</v>
      </c>
      <c r="K1218" s="42" t="str">
        <f>VLOOKUP($D1218,Sheet1!$A$5:$C$192,2,TRUE)</f>
        <v>(|(</v>
      </c>
      <c r="L1218" s="6">
        <f>FLOOR(VLOOKUP($D1218,Sheet1!$D$5:$F$192,3,TRUE),1)</f>
        <v>15</v>
      </c>
      <c r="M1218" s="42" t="str">
        <f>VLOOKUP($D1218,Sheet1!$D$5:$F$192,2,TRUE)</f>
        <v>~|)</v>
      </c>
      <c r="N1218" s="23">
        <f>FLOOR(VLOOKUP($D1218,Sheet1!$G$5:$I$192,3,TRUE),1)</f>
        <v>19</v>
      </c>
      <c r="O1218" s="42" t="str">
        <f>VLOOKUP($D1218,Sheet1!$G$5:$I$192,2,TRUE)</f>
        <v>.(|(</v>
      </c>
      <c r="P1218" s="23">
        <v>1</v>
      </c>
      <c r="Q1218" s="43" t="str">
        <f>VLOOKUP($D1218,Sheet1!$J$5:$L$192,2,TRUE)</f>
        <v>.(|(</v>
      </c>
      <c r="R1218" s="23">
        <f>FLOOR(VLOOKUP($D1218,Sheet1!$M$5:$O$192,3,TRUE),1)</f>
        <v>76</v>
      </c>
      <c r="S1218" s="42" t="str">
        <f>VLOOKUP($D1218,Sheet1!$M$5:$O$192,2,TRUE)</f>
        <v>.(|(</v>
      </c>
      <c r="T1218" s="117">
        <f>IF(ABS(D1218-VLOOKUP($D1218,Sheet1!$M$5:$T$192,8,TRUE))&lt;10^-10,"SoCA",D1218-VLOOKUP($D1218,Sheet1!$M$5:$T$192,8,TRUE))</f>
        <v>-2.2716863564916423E-2</v>
      </c>
      <c r="U1218" s="109" t="str">
        <f>IF(VLOOKUP($D1218,Sheet1!$M$5:$U$192,9,TRUE)=0,"",IF(ABS(D1218-VLOOKUP($D1218,Sheet1!$M$5:$U$192,9,TRUE))&lt;10^-10,"Alt.",D1218-VLOOKUP($D1218,Sheet1!$M$5:$U$192,9,TRUE)))</f>
        <v/>
      </c>
      <c r="V1218" s="132">
        <f>$D1218-Sheet1!$M$3*$R1218</f>
        <v>-0.15246897165949491</v>
      </c>
      <c r="Z1218" s="6"/>
      <c r="AA1218" s="61"/>
    </row>
    <row r="1219" spans="1:27" ht="13.5">
      <c r="A1219" s="6" t="s">
        <v>387</v>
      </c>
      <c r="B1219" s="6">
        <f>3^3*29</f>
        <v>783</v>
      </c>
      <c r="C1219" s="6">
        <f>2^5*5^2</f>
        <v>800</v>
      </c>
      <c r="D1219" s="13">
        <f t="shared" si="24"/>
        <v>37.185230980420897</v>
      </c>
      <c r="E1219" s="61">
        <v>29</v>
      </c>
      <c r="F1219" s="65">
        <v>47.283271419158289</v>
      </c>
      <c r="G1219" s="6">
        <v>226</v>
      </c>
      <c r="H1219" s="6">
        <v>222</v>
      </c>
      <c r="I1219" s="65">
        <v>-5.2896301446367282</v>
      </c>
      <c r="J1219" s="6">
        <f>VLOOKUP($D1219,Sheet1!$A$5:$C$192,3,TRUE)</f>
        <v>7</v>
      </c>
      <c r="K1219" s="42" t="str">
        <f>VLOOKUP($D1219,Sheet1!$A$5:$C$192,2,TRUE)</f>
        <v>(|(</v>
      </c>
      <c r="L1219" s="6">
        <f>FLOOR(VLOOKUP($D1219,Sheet1!$D$5:$F$192,3,TRUE),1)</f>
        <v>15</v>
      </c>
      <c r="M1219" s="42" t="str">
        <f>VLOOKUP($D1219,Sheet1!$D$5:$F$192,2,TRUE)</f>
        <v>~|)</v>
      </c>
      <c r="N1219" s="23">
        <f>FLOOR(VLOOKUP($D1219,Sheet1!$G$5:$I$192,3,TRUE),1)</f>
        <v>19</v>
      </c>
      <c r="O1219" s="42" t="str">
        <f>VLOOKUP($D1219,Sheet1!$G$5:$I$192,2,TRUE)</f>
        <v>.(|(</v>
      </c>
      <c r="P1219" s="23">
        <v>1</v>
      </c>
      <c r="Q1219" s="43" t="str">
        <f>VLOOKUP($D1219,Sheet1!$J$5:$L$192,2,TRUE)</f>
        <v>.(|(</v>
      </c>
      <c r="R1219" s="23">
        <f>FLOOR(VLOOKUP($D1219,Sheet1!$M$5:$O$192,3,TRUE),1)</f>
        <v>76</v>
      </c>
      <c r="S1219" s="42" t="str">
        <f>VLOOKUP($D1219,Sheet1!$M$5:$O$192,2,TRUE)</f>
        <v>.(|(</v>
      </c>
      <c r="T1219" s="117">
        <f>IF(ABS(D1219-VLOOKUP($D1219,Sheet1!$M$5:$T$192,8,TRUE))&lt;10^-10,"SoCA",D1219-VLOOKUP($D1219,Sheet1!$M$5:$T$192,8,TRUE))</f>
        <v>0.23317853750214113</v>
      </c>
      <c r="U1219" s="109" t="str">
        <f>IF(VLOOKUP($D1219,Sheet1!$M$5:$U$192,9,TRUE)=0,"",IF(ABS(D1219-VLOOKUP($D1219,Sheet1!$M$5:$U$192,9,TRUE))&lt;10^-10,"Alt.",D1219-VLOOKUP($D1219,Sheet1!$M$5:$U$192,9,TRUE)))</f>
        <v/>
      </c>
      <c r="V1219" s="132">
        <f>$D1219-Sheet1!$M$3*$R1219</f>
        <v>0.10342642940756264</v>
      </c>
      <c r="Z1219" s="6"/>
      <c r="AA1219" s="61"/>
    </row>
    <row r="1220" spans="1:27" ht="13.5">
      <c r="A1220" s="6" t="s">
        <v>789</v>
      </c>
      <c r="B1220" s="6">
        <f>2^12</f>
        <v>4096</v>
      </c>
      <c r="C1220" s="6">
        <f>3^3*5*31</f>
        <v>4185</v>
      </c>
      <c r="D1220" s="13">
        <f t="shared" ref="D1220:D1251" si="25">1200*LN($C1220/$B1220)/LN(2)</f>
        <v>37.214288925247324</v>
      </c>
      <c r="E1220" s="61">
        <v>31</v>
      </c>
      <c r="F1220" s="65">
        <v>50.496799649324835</v>
      </c>
      <c r="G1220" s="6">
        <v>738</v>
      </c>
      <c r="H1220" s="6">
        <v>635</v>
      </c>
      <c r="I1220" s="65">
        <v>0.70858065183645236</v>
      </c>
      <c r="J1220" s="6">
        <f>VLOOKUP($D1220,Sheet1!$A$5:$C$192,3,TRUE)</f>
        <v>7</v>
      </c>
      <c r="K1220" s="42" t="str">
        <f>VLOOKUP($D1220,Sheet1!$A$5:$C$192,2,TRUE)</f>
        <v>(|(</v>
      </c>
      <c r="L1220" s="6">
        <f>FLOOR(VLOOKUP($D1220,Sheet1!$D$5:$F$192,3,TRUE),1)</f>
        <v>15</v>
      </c>
      <c r="M1220" s="42" t="str">
        <f>VLOOKUP($D1220,Sheet1!$D$5:$F$192,2,TRUE)</f>
        <v>~|)</v>
      </c>
      <c r="N1220" s="23">
        <f>FLOOR(VLOOKUP($D1220,Sheet1!$G$5:$I$192,3,TRUE),1)</f>
        <v>19</v>
      </c>
      <c r="O1220" s="42" t="str">
        <f>VLOOKUP($D1220,Sheet1!$G$5:$I$192,2,TRUE)</f>
        <v>.(|(</v>
      </c>
      <c r="P1220" s="23">
        <v>1</v>
      </c>
      <c r="Q1220" s="43" t="str">
        <f>VLOOKUP($D1220,Sheet1!$J$5:$L$192,2,TRUE)</f>
        <v>.(|(</v>
      </c>
      <c r="R1220" s="23">
        <f>FLOOR(VLOOKUP($D1220,Sheet1!$M$5:$O$192,3,TRUE),1)</f>
        <v>76</v>
      </c>
      <c r="S1220" s="42" t="str">
        <f>VLOOKUP($D1220,Sheet1!$M$5:$O$192,2,TRUE)</f>
        <v>.(|(</v>
      </c>
      <c r="T1220" s="117">
        <f>IF(ABS(D1220-VLOOKUP($D1220,Sheet1!$M$5:$T$192,8,TRUE))&lt;10^-10,"SoCA",D1220-VLOOKUP($D1220,Sheet1!$M$5:$T$192,8,TRUE))</f>
        <v>0.26223648232856789</v>
      </c>
      <c r="U1220" s="109" t="str">
        <f>IF(VLOOKUP($D1220,Sheet1!$M$5:$U$192,9,TRUE)=0,"",IF(ABS(D1220-VLOOKUP($D1220,Sheet1!$M$5:$U$192,9,TRUE))&lt;10^-10,"Alt.",D1220-VLOOKUP($D1220,Sheet1!$M$5:$U$192,9,TRUE)))</f>
        <v/>
      </c>
      <c r="V1220" s="132">
        <f>$D1220-Sheet1!$M$3*$R1220</f>
        <v>0.1324843742339894</v>
      </c>
      <c r="Z1220" s="6"/>
      <c r="AA1220" s="61"/>
    </row>
    <row r="1221" spans="1:27" ht="13.5">
      <c r="A1221" s="23" t="s">
        <v>512</v>
      </c>
      <c r="B1221" s="23">
        <f>3^2*5^2*7^2</f>
        <v>11025</v>
      </c>
      <c r="C1221" s="23">
        <f>2^10*11</f>
        <v>11264</v>
      </c>
      <c r="D1221" s="13">
        <f t="shared" si="25"/>
        <v>37.128699966062484</v>
      </c>
      <c r="E1221" s="61">
        <v>11</v>
      </c>
      <c r="F1221" s="65">
        <v>56.23448612139687</v>
      </c>
      <c r="G1221" s="6">
        <v>376</v>
      </c>
      <c r="H1221" s="6">
        <v>353</v>
      </c>
      <c r="I1221" s="65">
        <v>-4.2861493241289823</v>
      </c>
      <c r="J1221" s="6">
        <f>VLOOKUP($D1221,Sheet1!$A$5:$C$192,3,TRUE)</f>
        <v>7</v>
      </c>
      <c r="K1221" s="42" t="str">
        <f>VLOOKUP($D1221,Sheet1!$A$5:$C$192,2,TRUE)</f>
        <v>(|(</v>
      </c>
      <c r="L1221" s="6">
        <f>FLOOR(VLOOKUP($D1221,Sheet1!$D$5:$F$192,3,TRUE),1)</f>
        <v>15</v>
      </c>
      <c r="M1221" s="42" t="str">
        <f>VLOOKUP($D1221,Sheet1!$D$5:$F$192,2,TRUE)</f>
        <v>~|)</v>
      </c>
      <c r="N1221" s="23">
        <f>FLOOR(VLOOKUP($D1221,Sheet1!$G$5:$I$192,3,TRUE),1)</f>
        <v>19</v>
      </c>
      <c r="O1221" s="42" t="str">
        <f>VLOOKUP($D1221,Sheet1!$G$5:$I$192,2,TRUE)</f>
        <v>.(|(</v>
      </c>
      <c r="P1221" s="23">
        <v>1</v>
      </c>
      <c r="Q1221" s="43" t="str">
        <f>VLOOKUP($D1221,Sheet1!$J$5:$L$192,2,TRUE)</f>
        <v>.(|(</v>
      </c>
      <c r="R1221" s="23">
        <f>FLOOR(VLOOKUP($D1221,Sheet1!$M$5:$O$192,3,TRUE),1)</f>
        <v>76</v>
      </c>
      <c r="S1221" s="43" t="str">
        <f>VLOOKUP($D1221,Sheet1!$M$5:$O$192,2,TRUE)</f>
        <v>.(|(</v>
      </c>
      <c r="T1221" s="117">
        <f>IF(ABS(D1221-VLOOKUP($D1221,Sheet1!$M$5:$T$192,8,TRUE))&lt;10^-10,"SoCA",D1221-VLOOKUP($D1221,Sheet1!$M$5:$T$192,8,TRUE))</f>
        <v>0.17664752314372834</v>
      </c>
      <c r="U1221" s="117" t="str">
        <f>IF(VLOOKUP($D1221,Sheet1!$M$5:$U$192,9,TRUE)=0,"",IF(ABS(D1221-VLOOKUP($D1221,Sheet1!$M$5:$U$192,9,TRUE))&lt;10^-10,"Alt.",D1221-VLOOKUP($D1221,Sheet1!$M$5:$U$192,9,TRUE)))</f>
        <v/>
      </c>
      <c r="V1221" s="132">
        <f>$D1221-Sheet1!$M$3*$R1221</f>
        <v>4.6895415049149847E-2</v>
      </c>
      <c r="Z1221" s="6"/>
      <c r="AA1221" s="61"/>
    </row>
    <row r="1222" spans="1:27" ht="13.5">
      <c r="A1222" t="s">
        <v>635</v>
      </c>
      <c r="B1222">
        <v>46</v>
      </c>
      <c r="C1222">
        <v>47</v>
      </c>
      <c r="D1222" s="13">
        <f t="shared" si="25"/>
        <v>37.232274744749567</v>
      </c>
      <c r="E1222" s="61">
        <v>47</v>
      </c>
      <c r="F1222" s="65">
        <v>70.069684896013399</v>
      </c>
      <c r="G1222" s="6">
        <v>530</v>
      </c>
      <c r="H1222" s="6">
        <v>480</v>
      </c>
      <c r="I1222" s="65">
        <v>-2.2925268005962089</v>
      </c>
      <c r="J1222" s="6">
        <f>VLOOKUP($D1222,Sheet1!$A$5:$C$192,3,TRUE)</f>
        <v>7</v>
      </c>
      <c r="K1222" s="42" t="str">
        <f>VLOOKUP($D1222,Sheet1!$A$5:$C$192,2,TRUE)</f>
        <v>(|(</v>
      </c>
      <c r="L1222" s="6">
        <f>FLOOR(VLOOKUP($D1222,Sheet1!$D$5:$F$192,3,TRUE),1)</f>
        <v>15</v>
      </c>
      <c r="M1222" s="42" t="str">
        <f>VLOOKUP($D1222,Sheet1!$D$5:$F$192,2,TRUE)</f>
        <v>~|)</v>
      </c>
      <c r="N1222" s="23">
        <f>FLOOR(VLOOKUP($D1222,Sheet1!$G$5:$I$192,3,TRUE),1)</f>
        <v>19</v>
      </c>
      <c r="O1222" s="42" t="str">
        <f>VLOOKUP($D1222,Sheet1!$G$5:$I$192,2,TRUE)</f>
        <v>.(|(</v>
      </c>
      <c r="P1222" s="23">
        <v>1</v>
      </c>
      <c r="Q1222" s="43" t="str">
        <f>VLOOKUP($D1222,Sheet1!$J$5:$L$192,2,TRUE)</f>
        <v>.(|(</v>
      </c>
      <c r="R1222" s="23">
        <f>FLOOR(VLOOKUP($D1222,Sheet1!$M$5:$O$192,3,TRUE),1)</f>
        <v>76</v>
      </c>
      <c r="S1222" s="42" t="str">
        <f>VLOOKUP($D1222,Sheet1!$M$5:$O$192,2,TRUE)</f>
        <v>.(|(</v>
      </c>
      <c r="T1222" s="117">
        <f>IF(ABS(D1222-VLOOKUP($D1222,Sheet1!$M$5:$T$192,8,TRUE))&lt;10^-10,"SoCA",D1222-VLOOKUP($D1222,Sheet1!$M$5:$T$192,8,TRUE))</f>
        <v>0.2802223018308112</v>
      </c>
      <c r="U1222" s="109" t="str">
        <f>IF(VLOOKUP($D1222,Sheet1!$M$5:$U$192,9,TRUE)=0,"",IF(ABS(D1222-VLOOKUP($D1222,Sheet1!$M$5:$U$192,9,TRUE))&lt;10^-10,"Alt.",D1222-VLOOKUP($D1222,Sheet1!$M$5:$U$192,9,TRUE)))</f>
        <v/>
      </c>
      <c r="V1222" s="132">
        <f>$D1222-Sheet1!$M$3*$R1222</f>
        <v>0.15047019373623272</v>
      </c>
      <c r="Z1222" s="6"/>
      <c r="AA1222" s="61"/>
    </row>
    <row r="1223" spans="1:27" ht="13.5">
      <c r="A1223" s="6" t="s">
        <v>851</v>
      </c>
      <c r="B1223" s="6">
        <f>2^15*7</f>
        <v>229376</v>
      </c>
      <c r="C1223" s="6">
        <f>3*5^7</f>
        <v>234375</v>
      </c>
      <c r="D1223" s="13">
        <f t="shared" si="25"/>
        <v>37.325091450106108</v>
      </c>
      <c r="E1223" s="61">
        <v>7</v>
      </c>
      <c r="F1223" s="65">
        <v>92.446610487413977</v>
      </c>
      <c r="G1223" s="6">
        <v>768</v>
      </c>
      <c r="H1223" s="6">
        <v>698</v>
      </c>
      <c r="I1223" s="65">
        <v>-1.2982418632946788</v>
      </c>
      <c r="J1223" s="6">
        <f>VLOOKUP($D1223,Sheet1!$A$5:$C$192,3,TRUE)</f>
        <v>7</v>
      </c>
      <c r="K1223" s="42" t="str">
        <f>VLOOKUP($D1223,Sheet1!$A$5:$C$192,2,TRUE)</f>
        <v>(|(</v>
      </c>
      <c r="L1223" s="6">
        <f>FLOOR(VLOOKUP($D1223,Sheet1!$D$5:$F$192,3,TRUE),1)</f>
        <v>15</v>
      </c>
      <c r="M1223" s="42" t="str">
        <f>VLOOKUP($D1223,Sheet1!$D$5:$F$192,2,TRUE)</f>
        <v>~|)</v>
      </c>
      <c r="N1223" s="23">
        <f>FLOOR(VLOOKUP($D1223,Sheet1!$G$5:$I$192,3,TRUE),1)</f>
        <v>19</v>
      </c>
      <c r="O1223" s="42" t="str">
        <f>VLOOKUP($D1223,Sheet1!$G$5:$I$192,2,TRUE)</f>
        <v>.(|(</v>
      </c>
      <c r="P1223" s="23">
        <v>1</v>
      </c>
      <c r="Q1223" s="43" t="str">
        <f>VLOOKUP($D1223,Sheet1!$J$5:$L$192,2,TRUE)</f>
        <v>.(|(</v>
      </c>
      <c r="R1223" s="23">
        <f>FLOOR(VLOOKUP($D1223,Sheet1!$M$5:$O$192,3,TRUE),1)</f>
        <v>76</v>
      </c>
      <c r="S1223" s="42" t="str">
        <f>VLOOKUP($D1223,Sheet1!$M$5:$O$192,2,TRUE)</f>
        <v>.(|(</v>
      </c>
      <c r="T1223" s="117">
        <f>IF(ABS(D1223-VLOOKUP($D1223,Sheet1!$M$5:$T$192,8,TRUE))&lt;10^-10,"SoCA",D1223-VLOOKUP($D1223,Sheet1!$M$5:$T$192,8,TRUE))</f>
        <v>0.3730390071873515</v>
      </c>
      <c r="U1223" s="109" t="str">
        <f>IF(VLOOKUP($D1223,Sheet1!$M$5:$U$192,9,TRUE)=0,"",IF(ABS(D1223-VLOOKUP($D1223,Sheet1!$M$5:$U$192,9,TRUE))&lt;10^-10,"Alt.",D1223-VLOOKUP($D1223,Sheet1!$M$5:$U$192,9,TRUE)))</f>
        <v/>
      </c>
      <c r="V1223" s="132">
        <f>$D1223-Sheet1!$M$3*$R1223</f>
        <v>0.24328689909277301</v>
      </c>
      <c r="Z1223" s="6"/>
      <c r="AA1223" s="61"/>
    </row>
    <row r="1224" spans="1:27" ht="13.5">
      <c r="A1224" t="s">
        <v>611</v>
      </c>
      <c r="B1224">
        <v>872</v>
      </c>
      <c r="C1224">
        <v>891</v>
      </c>
      <c r="D1224" s="13">
        <f t="shared" si="25"/>
        <v>37.316756093994762</v>
      </c>
      <c r="E1224" s="61" t="s">
        <v>1931</v>
      </c>
      <c r="F1224" s="65">
        <v>120.25548994440237</v>
      </c>
      <c r="G1224" s="6">
        <v>505</v>
      </c>
      <c r="H1224" s="6">
        <v>456</v>
      </c>
      <c r="I1224" s="65">
        <v>1.7022713749484519</v>
      </c>
      <c r="J1224" s="6">
        <f>VLOOKUP($D1224,Sheet1!$A$5:$C$192,3,TRUE)</f>
        <v>7</v>
      </c>
      <c r="K1224" s="42" t="str">
        <f>VLOOKUP($D1224,Sheet1!$A$5:$C$192,2,TRUE)</f>
        <v>(|(</v>
      </c>
      <c r="L1224" s="6">
        <f>FLOOR(VLOOKUP($D1224,Sheet1!$D$5:$F$192,3,TRUE),1)</f>
        <v>15</v>
      </c>
      <c r="M1224" s="42" t="str">
        <f>VLOOKUP($D1224,Sheet1!$D$5:$F$192,2,TRUE)</f>
        <v>~|)</v>
      </c>
      <c r="N1224" s="23">
        <f>FLOOR(VLOOKUP($D1224,Sheet1!$G$5:$I$192,3,TRUE),1)</f>
        <v>19</v>
      </c>
      <c r="O1224" s="42" t="str">
        <f>VLOOKUP($D1224,Sheet1!$G$5:$I$192,2,TRUE)</f>
        <v>.(|(</v>
      </c>
      <c r="P1224" s="23">
        <v>1</v>
      </c>
      <c r="Q1224" s="43" t="str">
        <f>VLOOKUP($D1224,Sheet1!$J$5:$L$192,2,TRUE)</f>
        <v>.(|(</v>
      </c>
      <c r="R1224" s="23">
        <f>FLOOR(VLOOKUP($D1224,Sheet1!$M$5:$O$192,3,TRUE),1)</f>
        <v>76</v>
      </c>
      <c r="S1224" s="42" t="str">
        <f>VLOOKUP($D1224,Sheet1!$M$5:$O$192,2,TRUE)</f>
        <v>.(|(</v>
      </c>
      <c r="T1224" s="117">
        <f>IF(ABS(D1224-VLOOKUP($D1224,Sheet1!$M$5:$T$192,8,TRUE))&lt;10^-10,"SoCA",D1224-VLOOKUP($D1224,Sheet1!$M$5:$T$192,8,TRUE))</f>
        <v>0.364703651076006</v>
      </c>
      <c r="U1224" s="109" t="str">
        <f>IF(VLOOKUP($D1224,Sheet1!$M$5:$U$192,9,TRUE)=0,"",IF(ABS(D1224-VLOOKUP($D1224,Sheet1!$M$5:$U$192,9,TRUE))&lt;10^-10,"Alt.",D1224-VLOOKUP($D1224,Sheet1!$M$5:$U$192,9,TRUE)))</f>
        <v/>
      </c>
      <c r="V1224" s="132">
        <f>$D1224-Sheet1!$M$3*$R1224</f>
        <v>0.23495154298142751</v>
      </c>
      <c r="Z1224" s="6"/>
      <c r="AA1224" s="61"/>
    </row>
    <row r="1225" spans="1:27" ht="13.5">
      <c r="A1225" t="s">
        <v>420</v>
      </c>
      <c r="B1225">
        <v>784</v>
      </c>
      <c r="C1225">
        <v>801</v>
      </c>
      <c r="D1225" s="13">
        <f t="shared" si="25"/>
        <v>37.138305952202209</v>
      </c>
      <c r="E1225" s="61" t="s">
        <v>1931</v>
      </c>
      <c r="F1225" s="65">
        <v>123.66710089994665</v>
      </c>
      <c r="G1225" s="6">
        <v>304</v>
      </c>
      <c r="H1225" s="6">
        <v>258</v>
      </c>
      <c r="I1225" s="65">
        <v>-0.2867407996921183</v>
      </c>
      <c r="J1225" s="6">
        <f>VLOOKUP($D1225,Sheet1!$A$5:$C$192,3,TRUE)</f>
        <v>7</v>
      </c>
      <c r="K1225" s="42" t="str">
        <f>VLOOKUP($D1225,Sheet1!$A$5:$C$192,2,TRUE)</f>
        <v>(|(</v>
      </c>
      <c r="L1225" s="6">
        <f>FLOOR(VLOOKUP($D1225,Sheet1!$D$5:$F$192,3,TRUE),1)</f>
        <v>15</v>
      </c>
      <c r="M1225" s="42" t="str">
        <f>VLOOKUP($D1225,Sheet1!$D$5:$F$192,2,TRUE)</f>
        <v>~|)</v>
      </c>
      <c r="N1225" s="23">
        <f>FLOOR(VLOOKUP($D1225,Sheet1!$G$5:$I$192,3,TRUE),1)</f>
        <v>19</v>
      </c>
      <c r="O1225" s="42" t="str">
        <f>VLOOKUP($D1225,Sheet1!$G$5:$I$192,2,TRUE)</f>
        <v>.(|(</v>
      </c>
      <c r="P1225" s="23">
        <v>1</v>
      </c>
      <c r="Q1225" s="43" t="str">
        <f>VLOOKUP($D1225,Sheet1!$J$5:$L$192,2,TRUE)</f>
        <v>.(|(</v>
      </c>
      <c r="R1225" s="23">
        <f>FLOOR(VLOOKUP($D1225,Sheet1!$M$5:$O$192,3,TRUE),1)</f>
        <v>76</v>
      </c>
      <c r="S1225" s="42" t="str">
        <f>VLOOKUP($D1225,Sheet1!$M$5:$O$192,2,TRUE)</f>
        <v>.(|(</v>
      </c>
      <c r="T1225" s="117">
        <f>IF(ABS(D1225-VLOOKUP($D1225,Sheet1!$M$5:$T$192,8,TRUE))&lt;10^-10,"SoCA",D1225-VLOOKUP($D1225,Sheet1!$M$5:$T$192,8,TRUE))</f>
        <v>0.18625350928345341</v>
      </c>
      <c r="U1225" s="109" t="str">
        <f>IF(VLOOKUP($D1225,Sheet1!$M$5:$U$192,9,TRUE)=0,"",IF(ABS(D1225-VLOOKUP($D1225,Sheet1!$M$5:$U$192,9,TRUE))&lt;10^-10,"Alt.",D1225-VLOOKUP($D1225,Sheet1!$M$5:$U$192,9,TRUE)))</f>
        <v/>
      </c>
      <c r="V1225" s="132">
        <f>$D1225-Sheet1!$M$3*$R1225</f>
        <v>5.6501401188874922E-2</v>
      </c>
      <c r="Z1225" s="6"/>
      <c r="AA1225" s="61"/>
    </row>
    <row r="1226" spans="1:27" ht="13.5">
      <c r="A1226" t="s">
        <v>894</v>
      </c>
      <c r="B1226">
        <v>5312</v>
      </c>
      <c r="C1226">
        <v>5427</v>
      </c>
      <c r="D1226" s="13">
        <f t="shared" si="25"/>
        <v>37.079714394567013</v>
      </c>
      <c r="E1226" s="61" t="s">
        <v>1931</v>
      </c>
      <c r="F1226" s="65">
        <v>150.26764178407578</v>
      </c>
      <c r="G1226" s="6">
        <v>803</v>
      </c>
      <c r="H1226" s="6">
        <v>742</v>
      </c>
      <c r="I1226" s="65">
        <v>1.7168668959721471</v>
      </c>
      <c r="J1226" s="6">
        <f>VLOOKUP($D1226,Sheet1!$A$5:$C$192,3,TRUE)</f>
        <v>7</v>
      </c>
      <c r="K1226" s="42" t="str">
        <f>VLOOKUP($D1226,Sheet1!$A$5:$C$192,2,TRUE)</f>
        <v>(|(</v>
      </c>
      <c r="L1226" s="6">
        <f>FLOOR(VLOOKUP($D1226,Sheet1!$D$5:$F$192,3,TRUE),1)</f>
        <v>15</v>
      </c>
      <c r="M1226" s="42" t="str">
        <f>VLOOKUP($D1226,Sheet1!$D$5:$F$192,2,TRUE)</f>
        <v>~|)</v>
      </c>
      <c r="N1226" s="23">
        <f>FLOOR(VLOOKUP($D1226,Sheet1!$G$5:$I$192,3,TRUE),1)</f>
        <v>19</v>
      </c>
      <c r="O1226" s="42" t="str">
        <f>VLOOKUP($D1226,Sheet1!$G$5:$I$192,2,TRUE)</f>
        <v>.(|(</v>
      </c>
      <c r="P1226" s="23">
        <v>1</v>
      </c>
      <c r="Q1226" s="43" t="str">
        <f>VLOOKUP($D1226,Sheet1!$J$5:$L$192,2,TRUE)</f>
        <v>.(|(</v>
      </c>
      <c r="R1226" s="23">
        <f>FLOOR(VLOOKUP($D1226,Sheet1!$M$5:$O$192,3,TRUE),1)</f>
        <v>76</v>
      </c>
      <c r="S1226" s="42" t="str">
        <f>VLOOKUP($D1226,Sheet1!$M$5:$O$192,2,TRUE)</f>
        <v>.(|(</v>
      </c>
      <c r="T1226" s="117">
        <f>IF(ABS(D1226-VLOOKUP($D1226,Sheet1!$M$5:$T$192,8,TRUE))&lt;10^-10,"SoCA",D1226-VLOOKUP($D1226,Sheet1!$M$5:$T$192,8,TRUE))</f>
        <v>0.12766195164825689</v>
      </c>
      <c r="U1226" s="109" t="str">
        <f>IF(VLOOKUP($D1226,Sheet1!$M$5:$U$192,9,TRUE)=0,"",IF(ABS(D1226-VLOOKUP($D1226,Sheet1!$M$5:$U$192,9,TRUE))&lt;10^-10,"Alt.",D1226-VLOOKUP($D1226,Sheet1!$M$5:$U$192,9,TRUE)))</f>
        <v/>
      </c>
      <c r="V1226" s="132">
        <f>$D1226-Sheet1!$M$3*$R1226</f>
        <v>-2.0901564463216005E-3</v>
      </c>
      <c r="Z1226" s="6"/>
      <c r="AA1226" s="61"/>
    </row>
    <row r="1227" spans="1:27" ht="13.5">
      <c r="A1227" t="s">
        <v>1002</v>
      </c>
      <c r="B1227">
        <v>30208</v>
      </c>
      <c r="C1227">
        <v>30861</v>
      </c>
      <c r="D1227" s="13">
        <f t="shared" si="25"/>
        <v>37.024969219326522</v>
      </c>
      <c r="E1227" s="61" t="s">
        <v>1931</v>
      </c>
      <c r="F1227" s="65">
        <v>186.55815396881317</v>
      </c>
      <c r="G1227" s="6">
        <v>915</v>
      </c>
      <c r="H1227" s="6">
        <v>850</v>
      </c>
      <c r="I1227" s="65">
        <v>2.7202377558592366</v>
      </c>
      <c r="J1227" s="6">
        <f>VLOOKUP($D1227,Sheet1!$A$5:$C$192,3,TRUE)</f>
        <v>7</v>
      </c>
      <c r="K1227" s="42" t="str">
        <f>VLOOKUP($D1227,Sheet1!$A$5:$C$192,2,TRUE)</f>
        <v>(|(</v>
      </c>
      <c r="L1227" s="6">
        <f>FLOOR(VLOOKUP($D1227,Sheet1!$D$5:$F$192,3,TRUE),1)</f>
        <v>15</v>
      </c>
      <c r="M1227" s="42" t="str">
        <f>VLOOKUP($D1227,Sheet1!$D$5:$F$192,2,TRUE)</f>
        <v>~|)</v>
      </c>
      <c r="N1227" s="23">
        <f>FLOOR(VLOOKUP($D1227,Sheet1!$G$5:$I$192,3,TRUE),1)</f>
        <v>19</v>
      </c>
      <c r="O1227" s="42" t="str">
        <f>VLOOKUP($D1227,Sheet1!$G$5:$I$192,2,TRUE)</f>
        <v>.(|(</v>
      </c>
      <c r="P1227" s="23">
        <v>1</v>
      </c>
      <c r="Q1227" s="43" t="str">
        <f>VLOOKUP($D1227,Sheet1!$J$5:$L$192,2,TRUE)</f>
        <v>.(|(</v>
      </c>
      <c r="R1227" s="23">
        <f>FLOOR(VLOOKUP($D1227,Sheet1!$M$5:$O$192,3,TRUE),1)</f>
        <v>76</v>
      </c>
      <c r="S1227" s="42" t="str">
        <f>VLOOKUP($D1227,Sheet1!$M$5:$O$192,2,TRUE)</f>
        <v>.(|(</v>
      </c>
      <c r="T1227" s="117">
        <f>IF(ABS(D1227-VLOOKUP($D1227,Sheet1!$M$5:$T$192,8,TRUE))&lt;10^-10,"SoCA",D1227-VLOOKUP($D1227,Sheet1!$M$5:$T$192,8,TRUE))</f>
        <v>7.2916776407765838E-2</v>
      </c>
      <c r="U1227" s="109" t="str">
        <f>IF(VLOOKUP($D1227,Sheet1!$M$5:$U$192,9,TRUE)=0,"",IF(ABS(D1227-VLOOKUP($D1227,Sheet1!$M$5:$U$192,9,TRUE))&lt;10^-10,"Alt.",D1227-VLOOKUP($D1227,Sheet1!$M$5:$U$192,9,TRUE)))</f>
        <v/>
      </c>
      <c r="V1227" s="132">
        <f>$D1227-Sheet1!$M$3*$R1227</f>
        <v>-5.6835331686812651E-2</v>
      </c>
      <c r="Z1227" s="6"/>
      <c r="AA1227" s="61"/>
    </row>
    <row r="1228" spans="1:27" ht="13.5">
      <c r="A1228" t="s">
        <v>1706</v>
      </c>
      <c r="B1228">
        <v>520192</v>
      </c>
      <c r="C1228">
        <v>531441</v>
      </c>
      <c r="D1228" s="13">
        <f t="shared" si="25"/>
        <v>37.03838625804984</v>
      </c>
      <c r="E1228" s="61" t="s">
        <v>1931</v>
      </c>
      <c r="F1228" s="65">
        <v>218.69865831027039</v>
      </c>
      <c r="G1228" s="6">
        <v>1619</v>
      </c>
      <c r="H1228" s="6">
        <v>1555</v>
      </c>
      <c r="I1228" s="65">
        <v>9.7194116199041076</v>
      </c>
      <c r="J1228" s="6">
        <f>VLOOKUP($D1228,Sheet1!$A$5:$C$192,3,TRUE)</f>
        <v>7</v>
      </c>
      <c r="K1228" s="42" t="str">
        <f>VLOOKUP($D1228,Sheet1!$A$5:$C$192,2,TRUE)</f>
        <v>(|(</v>
      </c>
      <c r="L1228" s="6">
        <f>FLOOR(VLOOKUP($D1228,Sheet1!$D$5:$F$192,3,TRUE),1)</f>
        <v>15</v>
      </c>
      <c r="M1228" s="42" t="str">
        <f>VLOOKUP($D1228,Sheet1!$D$5:$F$192,2,TRUE)</f>
        <v>~|)</v>
      </c>
      <c r="N1228" s="23">
        <f>FLOOR(VLOOKUP($D1228,Sheet1!$G$5:$I$192,3,TRUE),1)</f>
        <v>19</v>
      </c>
      <c r="O1228" s="42" t="str">
        <f>VLOOKUP($D1228,Sheet1!$G$5:$I$192,2,TRUE)</f>
        <v>.(|(</v>
      </c>
      <c r="P1228" s="23">
        <v>1</v>
      </c>
      <c r="Q1228" s="43" t="str">
        <f>VLOOKUP($D1228,Sheet1!$J$5:$L$192,2,TRUE)</f>
        <v>.(|(</v>
      </c>
      <c r="R1228" s="23">
        <f>FLOOR(VLOOKUP($D1228,Sheet1!$M$5:$O$192,3,TRUE),1)</f>
        <v>76</v>
      </c>
      <c r="S1228" s="42" t="str">
        <f>VLOOKUP($D1228,Sheet1!$M$5:$O$192,2,TRUE)</f>
        <v>.(|(</v>
      </c>
      <c r="T1228" s="117">
        <f>IF(ABS(D1228-VLOOKUP($D1228,Sheet1!$M$5:$T$192,8,TRUE))&lt;10^-10,"SoCA",D1228-VLOOKUP($D1228,Sheet1!$M$5:$T$192,8,TRUE))</f>
        <v>8.6333815131084179E-2</v>
      </c>
      <c r="U1228" s="109" t="str">
        <f>IF(VLOOKUP($D1228,Sheet1!$M$5:$U$192,9,TRUE)=0,"",IF(ABS(D1228-VLOOKUP($D1228,Sheet1!$M$5:$U$192,9,TRUE))&lt;10^-10,"Alt.",D1228-VLOOKUP($D1228,Sheet1!$M$5:$U$192,9,TRUE)))</f>
        <v/>
      </c>
      <c r="V1228" s="132">
        <f>$D1228-Sheet1!$M$3*$R1228</f>
        <v>-4.3418292963494309E-2</v>
      </c>
      <c r="Z1228" s="6"/>
      <c r="AA1228" s="61"/>
    </row>
    <row r="1229" spans="1:27" ht="13.5">
      <c r="A1229" t="s">
        <v>1154</v>
      </c>
      <c r="B1229">
        <v>82629</v>
      </c>
      <c r="C1229">
        <v>84424</v>
      </c>
      <c r="D1229" s="13">
        <f t="shared" si="25"/>
        <v>37.205973231218863</v>
      </c>
      <c r="E1229" s="61" t="s">
        <v>1931</v>
      </c>
      <c r="F1229" s="65">
        <v>19734.644011360313</v>
      </c>
      <c r="G1229" s="6">
        <v>1056</v>
      </c>
      <c r="H1229" s="6">
        <v>1003</v>
      </c>
      <c r="I1229" s="65">
        <v>-4.2909073205864932</v>
      </c>
      <c r="J1229" s="6">
        <f>VLOOKUP($D1229,Sheet1!$A$5:$C$192,3,TRUE)</f>
        <v>7</v>
      </c>
      <c r="K1229" s="42" t="str">
        <f>VLOOKUP($D1229,Sheet1!$A$5:$C$192,2,TRUE)</f>
        <v>(|(</v>
      </c>
      <c r="L1229" s="6">
        <f>FLOOR(VLOOKUP($D1229,Sheet1!$D$5:$F$192,3,TRUE),1)</f>
        <v>15</v>
      </c>
      <c r="M1229" s="42" t="str">
        <f>VLOOKUP($D1229,Sheet1!$D$5:$F$192,2,TRUE)</f>
        <v>~|)</v>
      </c>
      <c r="N1229" s="23">
        <f>FLOOR(VLOOKUP($D1229,Sheet1!$G$5:$I$192,3,TRUE),1)</f>
        <v>19</v>
      </c>
      <c r="O1229" s="42" t="str">
        <f>VLOOKUP($D1229,Sheet1!$G$5:$I$192,2,TRUE)</f>
        <v>.(|(</v>
      </c>
      <c r="P1229" s="23">
        <v>1</v>
      </c>
      <c r="Q1229" s="43" t="str">
        <f>VLOOKUP($D1229,Sheet1!$J$5:$L$192,2,TRUE)</f>
        <v>.(|(</v>
      </c>
      <c r="R1229" s="23">
        <f>FLOOR(VLOOKUP($D1229,Sheet1!$M$5:$O$192,3,TRUE),1)</f>
        <v>76</v>
      </c>
      <c r="S1229" s="42" t="str">
        <f>VLOOKUP($D1229,Sheet1!$M$5:$O$192,2,TRUE)</f>
        <v>.(|(</v>
      </c>
      <c r="T1229" s="117">
        <f>IF(ABS(D1229-VLOOKUP($D1229,Sheet1!$M$5:$T$192,8,TRUE))&lt;10^-10,"SoCA",D1229-VLOOKUP($D1229,Sheet1!$M$5:$T$192,8,TRUE))</f>
        <v>0.25392078830010689</v>
      </c>
      <c r="U1229" s="109" t="str">
        <f>IF(VLOOKUP($D1229,Sheet1!$M$5:$U$192,9,TRUE)=0,"",IF(ABS(D1229-VLOOKUP($D1229,Sheet1!$M$5:$U$192,9,TRUE))&lt;10^-10,"Alt.",D1229-VLOOKUP($D1229,Sheet1!$M$5:$U$192,9,TRUE)))</f>
        <v/>
      </c>
      <c r="V1229" s="132">
        <f>$D1229-Sheet1!$M$3*$R1229</f>
        <v>0.1241686802055284</v>
      </c>
      <c r="Z1229" s="6"/>
      <c r="AA1229" s="61"/>
    </row>
    <row r="1230" spans="1:27" ht="13.5">
      <c r="A1230" s="48" t="s">
        <v>147</v>
      </c>
      <c r="B1230" s="48">
        <f>2^19</f>
        <v>524288</v>
      </c>
      <c r="C1230" s="48">
        <f>3^7*5*7^2</f>
        <v>535815</v>
      </c>
      <c r="D1230" s="13">
        <f t="shared" si="25"/>
        <v>37.650532860796602</v>
      </c>
      <c r="E1230" s="61">
        <v>7</v>
      </c>
      <c r="F1230" s="65">
        <v>31.692226466249373</v>
      </c>
      <c r="G1230" s="6">
        <v>33</v>
      </c>
      <c r="H1230" s="6">
        <v>33</v>
      </c>
      <c r="I1230" s="65">
        <v>4.6817195234014957</v>
      </c>
      <c r="J1230" s="6">
        <f>VLOOKUP($D1230,Sheet1!$A$5:$C$192,3,TRUE)</f>
        <v>7</v>
      </c>
      <c r="K1230" s="42" t="str">
        <f>VLOOKUP($D1230,Sheet1!$A$5:$C$192,2,TRUE)</f>
        <v>(|(</v>
      </c>
      <c r="L1230" s="6">
        <f>FLOOR(VLOOKUP($D1230,Sheet1!$D$5:$F$192,3,TRUE),1)</f>
        <v>16</v>
      </c>
      <c r="M1230" s="42" t="str">
        <f>VLOOKUP($D1230,Sheet1!$D$5:$F$192,2,TRUE)</f>
        <v>/|~</v>
      </c>
      <c r="N1230" s="39">
        <f>FLOOR(VLOOKUP($D1230,Sheet1!$G$5:$I$192,3,TRUE),1)</f>
        <v>19</v>
      </c>
      <c r="O1230" s="44" t="str">
        <f>VLOOKUP($D1230,Sheet1!$G$5:$I$192,2,TRUE)</f>
        <v>'~|)</v>
      </c>
      <c r="P1230" s="39">
        <v>1</v>
      </c>
      <c r="Q1230" s="44" t="str">
        <f>VLOOKUP($D1230,Sheet1!$J$5:$L$192,2,TRUE)</f>
        <v>'~|)</v>
      </c>
      <c r="R1230" s="39">
        <f>FLOOR(VLOOKUP($D1230,Sheet1!$M$5:$O$192,3,TRUE),1)</f>
        <v>77</v>
      </c>
      <c r="S1230" s="44" t="str">
        <f>VLOOKUP($D1230,Sheet1!$M$5:$O$192,2,TRUE)</f>
        <v>'~|)</v>
      </c>
      <c r="T1230" s="113" t="str">
        <f>IF(ABS(D1230-VLOOKUP($D1230,Sheet1!$M$5:$T$192,8,TRUE))&lt;10^-10,"SoCA",D1230-VLOOKUP($D1230,Sheet1!$M$5:$T$192,8,TRUE))</f>
        <v>SoCA</v>
      </c>
      <c r="U1230" s="118" t="str">
        <f>IF(VLOOKUP($D1230,Sheet1!$M$5:$U$192,9,TRUE)=0,"",IF(ABS(D1230-VLOOKUP($D1230,Sheet1!$M$5:$U$192,9,TRUE))&lt;10^-10,"Alt.",D1230-VLOOKUP($D1230,Sheet1!$M$5:$U$192,9,TRUE)))</f>
        <v/>
      </c>
      <c r="V1230" s="136">
        <f>$D1230-Sheet1!$M$3*$R1230</f>
        <v>8.080982884888499E-2</v>
      </c>
      <c r="Z1230" s="6"/>
      <c r="AA1230" s="61"/>
    </row>
    <row r="1231" spans="1:27" ht="13.5">
      <c r="A1231" t="s">
        <v>1258</v>
      </c>
      <c r="B1231">
        <v>1323</v>
      </c>
      <c r="C1231">
        <v>1352</v>
      </c>
      <c r="D1231" s="13">
        <f t="shared" si="25"/>
        <v>37.538508004209035</v>
      </c>
      <c r="E1231" s="61">
        <v>13</v>
      </c>
      <c r="F1231" s="65">
        <v>40.492542145681533</v>
      </c>
      <c r="G1231" s="6">
        <v>1164</v>
      </c>
      <c r="H1231" s="6">
        <v>1107</v>
      </c>
      <c r="I1231" s="65">
        <v>-5.3113826980496341</v>
      </c>
      <c r="J1231" s="6">
        <f>VLOOKUP($D1231,Sheet1!$A$5:$C$192,3,TRUE)</f>
        <v>7</v>
      </c>
      <c r="K1231" s="42" t="str">
        <f>VLOOKUP($D1231,Sheet1!$A$5:$C$192,2,TRUE)</f>
        <v>(|(</v>
      </c>
      <c r="L1231" s="6">
        <f>FLOOR(VLOOKUP($D1231,Sheet1!$D$5:$F$192,3,TRUE),1)</f>
        <v>16</v>
      </c>
      <c r="M1231" s="42" t="str">
        <f>VLOOKUP($D1231,Sheet1!$D$5:$F$192,2,TRUE)</f>
        <v>/|~</v>
      </c>
      <c r="N1231" s="23">
        <f>FLOOR(VLOOKUP($D1231,Sheet1!$G$5:$I$192,3,TRUE),1)</f>
        <v>19</v>
      </c>
      <c r="O1231" s="42" t="str">
        <f>VLOOKUP($D1231,Sheet1!$G$5:$I$192,2,TRUE)</f>
        <v>'~|)</v>
      </c>
      <c r="P1231" s="23">
        <v>1</v>
      </c>
      <c r="Q1231" s="43" t="str">
        <f>VLOOKUP($D1231,Sheet1!$J$5:$L$192,2,TRUE)</f>
        <v>'~|)</v>
      </c>
      <c r="R1231" s="23">
        <f>FLOOR(VLOOKUP($D1231,Sheet1!$M$5:$O$192,3,TRUE),1)</f>
        <v>77</v>
      </c>
      <c r="S1231" s="42" t="str">
        <f>VLOOKUP($D1231,Sheet1!$M$5:$O$192,2,TRUE)</f>
        <v>'~|)</v>
      </c>
      <c r="T1231" s="117">
        <f>IF(ABS(D1231-VLOOKUP($D1231,Sheet1!$M$5:$T$192,8,TRUE))&lt;10^-10,"SoCA",D1231-VLOOKUP($D1231,Sheet1!$M$5:$T$192,8,TRUE))</f>
        <v>-0.11202485658744621</v>
      </c>
      <c r="U1231" s="109" t="str">
        <f>IF(VLOOKUP($D1231,Sheet1!$M$5:$U$192,9,TRUE)=0,"",IF(ABS(D1231-VLOOKUP($D1231,Sheet1!$M$5:$U$192,9,TRUE))&lt;10^-10,"Alt.",D1231-VLOOKUP($D1231,Sheet1!$M$5:$U$192,9,TRUE)))</f>
        <v/>
      </c>
      <c r="V1231" s="132">
        <f>$D1231-Sheet1!$M$3*$R1231</f>
        <v>-3.1215027738682011E-2</v>
      </c>
      <c r="Z1231" s="6"/>
      <c r="AA1231" s="61"/>
    </row>
    <row r="1232" spans="1:27" ht="13.5">
      <c r="A1232" t="s">
        <v>889</v>
      </c>
      <c r="B1232">
        <v>25600</v>
      </c>
      <c r="C1232">
        <v>26163</v>
      </c>
      <c r="D1232" s="13">
        <f t="shared" si="25"/>
        <v>37.661001364589893</v>
      </c>
      <c r="E1232" s="61">
        <v>19</v>
      </c>
      <c r="F1232" s="65">
        <v>46.205372734663833</v>
      </c>
      <c r="G1232" s="6">
        <v>798</v>
      </c>
      <c r="H1232" s="6">
        <v>737</v>
      </c>
      <c r="I1232" s="65">
        <v>1.6810749394841071</v>
      </c>
      <c r="J1232" s="6">
        <f>VLOOKUP($D1232,Sheet1!$A$5:$C$192,3,TRUE)</f>
        <v>7</v>
      </c>
      <c r="K1232" s="42" t="str">
        <f>VLOOKUP($D1232,Sheet1!$A$5:$C$192,2,TRUE)</f>
        <v>(|(</v>
      </c>
      <c r="L1232" s="6">
        <f>FLOOR(VLOOKUP($D1232,Sheet1!$D$5:$F$192,3,TRUE),1)</f>
        <v>16</v>
      </c>
      <c r="M1232" s="42" t="str">
        <f>VLOOKUP($D1232,Sheet1!$D$5:$F$192,2,TRUE)</f>
        <v>/|~</v>
      </c>
      <c r="N1232" s="23">
        <f>FLOOR(VLOOKUP($D1232,Sheet1!$G$5:$I$192,3,TRUE),1)</f>
        <v>19</v>
      </c>
      <c r="O1232" s="42" t="str">
        <f>VLOOKUP($D1232,Sheet1!$G$5:$I$192,2,TRUE)</f>
        <v>'~|)</v>
      </c>
      <c r="P1232" s="23">
        <v>1</v>
      </c>
      <c r="Q1232" s="43" t="str">
        <f>VLOOKUP($D1232,Sheet1!$J$5:$L$192,2,TRUE)</f>
        <v>'~|)</v>
      </c>
      <c r="R1232" s="23">
        <f>FLOOR(VLOOKUP($D1232,Sheet1!$M$5:$O$192,3,TRUE),1)</f>
        <v>77</v>
      </c>
      <c r="S1232" s="42" t="str">
        <f>VLOOKUP($D1232,Sheet1!$M$5:$O$192,2,TRUE)</f>
        <v>'~|)</v>
      </c>
      <c r="T1232" s="117">
        <f>IF(ABS(D1232-VLOOKUP($D1232,Sheet1!$M$5:$T$192,8,TRUE))&lt;10^-10,"SoCA",D1232-VLOOKUP($D1232,Sheet1!$M$5:$T$192,8,TRUE))</f>
        <v>1.0468503793411799E-2</v>
      </c>
      <c r="U1232" s="109" t="str">
        <f>IF(VLOOKUP($D1232,Sheet1!$M$5:$U$192,9,TRUE)=0,"",IF(ABS(D1232-VLOOKUP($D1232,Sheet1!$M$5:$U$192,9,TRUE))&lt;10^-10,"Alt.",D1232-VLOOKUP($D1232,Sheet1!$M$5:$U$192,9,TRUE)))</f>
        <v/>
      </c>
      <c r="V1232" s="132">
        <f>$D1232-Sheet1!$M$3*$R1232</f>
        <v>9.1278332642175997E-2</v>
      </c>
      <c r="Z1232" s="6"/>
      <c r="AA1232" s="61"/>
    </row>
    <row r="1233" spans="1:27" ht="13.5">
      <c r="A1233" s="6" t="s">
        <v>341</v>
      </c>
      <c r="B1233" s="6">
        <f>3^3*5^3*19</f>
        <v>64125</v>
      </c>
      <c r="C1233" s="6">
        <f>2^16</f>
        <v>65536</v>
      </c>
      <c r="D1233" s="13">
        <f t="shared" si="25"/>
        <v>37.680839677030704</v>
      </c>
      <c r="E1233" s="61">
        <v>19</v>
      </c>
      <c r="F1233" s="65">
        <v>61.674623366892611</v>
      </c>
      <c r="G1233" s="6">
        <v>181</v>
      </c>
      <c r="H1233" s="6">
        <v>175</v>
      </c>
      <c r="I1233" s="65">
        <v>-5.3201465776877805</v>
      </c>
      <c r="J1233" s="6">
        <f>VLOOKUP($D1233,Sheet1!$A$5:$C$192,3,TRUE)</f>
        <v>7</v>
      </c>
      <c r="K1233" s="42" t="str">
        <f>VLOOKUP($D1233,Sheet1!$A$5:$C$192,2,TRUE)</f>
        <v>(|(</v>
      </c>
      <c r="L1233" s="6">
        <f>FLOOR(VLOOKUP($D1233,Sheet1!$D$5:$F$192,3,TRUE),1)</f>
        <v>16</v>
      </c>
      <c r="M1233" s="42" t="str">
        <f>VLOOKUP($D1233,Sheet1!$D$5:$F$192,2,TRUE)</f>
        <v>/|~</v>
      </c>
      <c r="N1233" s="23">
        <f>FLOOR(VLOOKUP($D1233,Sheet1!$G$5:$I$192,3,TRUE),1)</f>
        <v>19</v>
      </c>
      <c r="O1233" s="42" t="str">
        <f>VLOOKUP($D1233,Sheet1!$G$5:$I$192,2,TRUE)</f>
        <v>'~|)</v>
      </c>
      <c r="P1233" s="23">
        <v>1</v>
      </c>
      <c r="Q1233" s="43" t="str">
        <f>VLOOKUP($D1233,Sheet1!$J$5:$L$192,2,TRUE)</f>
        <v>'~|)</v>
      </c>
      <c r="R1233" s="23">
        <f>FLOOR(VLOOKUP($D1233,Sheet1!$M$5:$O$192,3,TRUE),1)</f>
        <v>77</v>
      </c>
      <c r="S1233" s="42" t="str">
        <f>VLOOKUP($D1233,Sheet1!$M$5:$O$192,2,TRUE)</f>
        <v>'~|)</v>
      </c>
      <c r="T1233" s="117">
        <f>IF(ABS(D1233-VLOOKUP($D1233,Sheet1!$M$5:$T$192,8,TRUE))&lt;10^-10,"SoCA",D1233-VLOOKUP($D1233,Sheet1!$M$5:$T$192,8,TRUE))</f>
        <v>3.0306816234222822E-2</v>
      </c>
      <c r="U1233" s="109" t="str">
        <f>IF(VLOOKUP($D1233,Sheet1!$M$5:$U$192,9,TRUE)=0,"",IF(ABS(D1233-VLOOKUP($D1233,Sheet1!$M$5:$U$192,9,TRUE))&lt;10^-10,"Alt.",D1233-VLOOKUP($D1233,Sheet1!$M$5:$U$192,9,TRUE)))</f>
        <v/>
      </c>
      <c r="V1233" s="132">
        <f>$D1233-Sheet1!$M$3*$R1233</f>
        <v>0.11111664508298702</v>
      </c>
      <c r="Z1233" s="6"/>
      <c r="AA1233" s="61"/>
    </row>
    <row r="1234" spans="1:27" ht="13.5">
      <c r="A1234" s="6" t="s">
        <v>1818</v>
      </c>
      <c r="B1234">
        <v>137781</v>
      </c>
      <c r="C1234">
        <v>140800</v>
      </c>
      <c r="D1234" s="13">
        <f t="shared" si="25"/>
        <v>37.524455836814553</v>
      </c>
      <c r="E1234" s="61">
        <v>11</v>
      </c>
      <c r="F1234" s="65">
        <v>67.870648753002314</v>
      </c>
      <c r="G1234" s="59">
        <v>1368</v>
      </c>
      <c r="H1234" s="63">
        <v>1000023</v>
      </c>
      <c r="I1234" s="65">
        <v>-11.310517454908323</v>
      </c>
      <c r="J1234" s="6">
        <f>VLOOKUP($D1234,Sheet1!$A$5:$C$192,3,TRUE)</f>
        <v>7</v>
      </c>
      <c r="K1234" s="42" t="str">
        <f>VLOOKUP($D1234,Sheet1!$A$5:$C$192,2,TRUE)</f>
        <v>(|(</v>
      </c>
      <c r="L1234" s="6">
        <f>FLOOR(VLOOKUP($D1234,Sheet1!$D$5:$F$192,3,TRUE),1)</f>
        <v>16</v>
      </c>
      <c r="M1234" s="42" t="str">
        <f>VLOOKUP($D1234,Sheet1!$D$5:$F$192,2,TRUE)</f>
        <v>/|~</v>
      </c>
      <c r="N1234" s="23">
        <f>FLOOR(VLOOKUP($D1234,Sheet1!$G$5:$I$192,3,TRUE),1)</f>
        <v>19</v>
      </c>
      <c r="O1234" s="42" t="str">
        <f>VLOOKUP($D1234,Sheet1!$G$5:$I$192,2,TRUE)</f>
        <v>'~|)</v>
      </c>
      <c r="P1234" s="23">
        <v>1</v>
      </c>
      <c r="Q1234" s="43" t="str">
        <f>VLOOKUP($D1234,Sheet1!$J$5:$L$192,2,TRUE)</f>
        <v>'~|)</v>
      </c>
      <c r="R1234" s="23">
        <f>FLOOR(VLOOKUP($D1234,Sheet1!$M$5:$O$192,3,TRUE),1)</f>
        <v>77</v>
      </c>
      <c r="S1234" s="42" t="str">
        <f>VLOOKUP($D1234,Sheet1!$M$5:$O$192,2,TRUE)</f>
        <v>'~|)</v>
      </c>
      <c r="T1234" s="117">
        <f>IF(ABS(D1234-VLOOKUP($D1234,Sheet1!$M$5:$T$192,8,TRUE))&lt;10^-10,"SoCA",D1234-VLOOKUP($D1234,Sheet1!$M$5:$T$192,8,TRUE))</f>
        <v>-0.12607702398192799</v>
      </c>
      <c r="U1234" s="109" t="str">
        <f>IF(VLOOKUP($D1234,Sheet1!$M$5:$U$192,9,TRUE)=0,"",IF(ABS(D1234-VLOOKUP($D1234,Sheet1!$M$5:$U$192,9,TRUE))&lt;10^-10,"Alt.",D1234-VLOOKUP($D1234,Sheet1!$M$5:$U$192,9,TRUE)))</f>
        <v/>
      </c>
      <c r="V1234" s="132">
        <f>$D1234-Sheet1!$M$3*$R1234</f>
        <v>-4.5267195133163796E-2</v>
      </c>
      <c r="Z1234" s="6"/>
      <c r="AA1234" s="61"/>
    </row>
    <row r="1235" spans="1:27" ht="13.5">
      <c r="A1235" t="s">
        <v>803</v>
      </c>
      <c r="B1235">
        <v>237568</v>
      </c>
      <c r="C1235">
        <v>242757</v>
      </c>
      <c r="D1235" s="13">
        <f t="shared" si="25"/>
        <v>37.406851524752625</v>
      </c>
      <c r="E1235" s="61">
        <v>37</v>
      </c>
      <c r="F1235" s="65">
        <v>69.588135939214538</v>
      </c>
      <c r="G1235" s="6">
        <v>637</v>
      </c>
      <c r="H1235" s="6">
        <v>649</v>
      </c>
      <c r="I1235" s="65">
        <v>5.696723871041165</v>
      </c>
      <c r="J1235" s="6">
        <f>VLOOKUP($D1235,Sheet1!$A$5:$C$192,3,TRUE)</f>
        <v>7</v>
      </c>
      <c r="K1235" s="42" t="str">
        <f>VLOOKUP($D1235,Sheet1!$A$5:$C$192,2,TRUE)</f>
        <v>(|(</v>
      </c>
      <c r="L1235" s="6">
        <f>FLOOR(VLOOKUP($D1235,Sheet1!$D$5:$F$192,3,TRUE),1)</f>
        <v>16</v>
      </c>
      <c r="M1235" s="42" t="str">
        <f>VLOOKUP($D1235,Sheet1!$D$5:$F$192,2,TRUE)</f>
        <v>/|~</v>
      </c>
      <c r="N1235" s="23">
        <f>FLOOR(VLOOKUP($D1235,Sheet1!$G$5:$I$192,3,TRUE),1)</f>
        <v>19</v>
      </c>
      <c r="O1235" s="42" t="str">
        <f>VLOOKUP($D1235,Sheet1!$G$5:$I$192,2,TRUE)</f>
        <v>'~|)</v>
      </c>
      <c r="P1235" s="23">
        <v>1</v>
      </c>
      <c r="Q1235" s="43" t="str">
        <f>VLOOKUP($D1235,Sheet1!$J$5:$L$192,2,TRUE)</f>
        <v>'~|)</v>
      </c>
      <c r="R1235" s="23">
        <f>FLOOR(VLOOKUP($D1235,Sheet1!$M$5:$O$192,3,TRUE),1)</f>
        <v>77</v>
      </c>
      <c r="S1235" s="42" t="str">
        <f>VLOOKUP($D1235,Sheet1!$M$5:$O$192,2,TRUE)</f>
        <v>'~|)</v>
      </c>
      <c r="T1235" s="117">
        <f>IF(ABS(D1235-VLOOKUP($D1235,Sheet1!$M$5:$T$192,8,TRUE))&lt;10^-10,"SoCA",D1235-VLOOKUP($D1235,Sheet1!$M$5:$T$192,8,TRUE))</f>
        <v>-0.24368133604385633</v>
      </c>
      <c r="U1235" s="109" t="str">
        <f>IF(VLOOKUP($D1235,Sheet1!$M$5:$U$192,9,TRUE)=0,"",IF(ABS(D1235-VLOOKUP($D1235,Sheet1!$M$5:$U$192,9,TRUE))&lt;10^-10,"Alt.",D1235-VLOOKUP($D1235,Sheet1!$M$5:$U$192,9,TRUE)))</f>
        <v/>
      </c>
      <c r="V1235" s="132">
        <f>$D1235-Sheet1!$M$3*$R1235</f>
        <v>-0.16287150719509214</v>
      </c>
      <c r="Z1235" s="6"/>
      <c r="AA1235" s="61"/>
    </row>
    <row r="1236" spans="1:27" ht="13.5">
      <c r="A1236" t="s">
        <v>1756</v>
      </c>
      <c r="B1236">
        <v>2565351</v>
      </c>
      <c r="C1236">
        <v>2621440</v>
      </c>
      <c r="D1236" s="13">
        <f t="shared" si="25"/>
        <v>37.443950172912594</v>
      </c>
      <c r="E1236" s="61">
        <v>23</v>
      </c>
      <c r="F1236" s="65">
        <v>70.181231001631744</v>
      </c>
      <c r="G1236" s="6">
        <v>1665</v>
      </c>
      <c r="H1236" s="6">
        <v>1605</v>
      </c>
      <c r="I1236" s="65">
        <v>-10.305560427883778</v>
      </c>
      <c r="J1236" s="6">
        <f>VLOOKUP($D1236,Sheet1!$A$5:$C$192,3,TRUE)</f>
        <v>7</v>
      </c>
      <c r="K1236" s="42" t="str">
        <f>VLOOKUP($D1236,Sheet1!$A$5:$C$192,2,TRUE)</f>
        <v>(|(</v>
      </c>
      <c r="L1236" s="6">
        <f>FLOOR(VLOOKUP($D1236,Sheet1!$D$5:$F$192,3,TRUE),1)</f>
        <v>16</v>
      </c>
      <c r="M1236" s="42" t="str">
        <f>VLOOKUP($D1236,Sheet1!$D$5:$F$192,2,TRUE)</f>
        <v>/|~</v>
      </c>
      <c r="N1236" s="23">
        <f>FLOOR(VLOOKUP($D1236,Sheet1!$G$5:$I$192,3,TRUE),1)</f>
        <v>19</v>
      </c>
      <c r="O1236" s="42" t="str">
        <f>VLOOKUP($D1236,Sheet1!$G$5:$I$192,2,TRUE)</f>
        <v>'~|)</v>
      </c>
      <c r="P1236" s="23">
        <v>1</v>
      </c>
      <c r="Q1236" s="43" t="str">
        <f>VLOOKUP($D1236,Sheet1!$J$5:$L$192,2,TRUE)</f>
        <v>'~|)</v>
      </c>
      <c r="R1236" s="23">
        <f>FLOOR(VLOOKUP($D1236,Sheet1!$M$5:$O$192,3,TRUE),1)</f>
        <v>77</v>
      </c>
      <c r="S1236" s="42" t="str">
        <f>VLOOKUP($D1236,Sheet1!$M$5:$O$192,2,TRUE)</f>
        <v>'~|)</v>
      </c>
      <c r="T1236" s="117">
        <f>IF(ABS(D1236-VLOOKUP($D1236,Sheet1!$M$5:$T$192,8,TRUE))&lt;10^-10,"SoCA",D1236-VLOOKUP($D1236,Sheet1!$M$5:$T$192,8,TRUE))</f>
        <v>-0.20658268788388767</v>
      </c>
      <c r="U1236" s="109" t="str">
        <f>IF(VLOOKUP($D1236,Sheet1!$M$5:$U$192,9,TRUE)=0,"",IF(ABS(D1236-VLOOKUP($D1236,Sheet1!$M$5:$U$192,9,TRUE))&lt;10^-10,"Alt.",D1236-VLOOKUP($D1236,Sheet1!$M$5:$U$192,9,TRUE)))</f>
        <v/>
      </c>
      <c r="V1236" s="132">
        <f>$D1236-Sheet1!$M$3*$R1236</f>
        <v>-0.12577285903512347</v>
      </c>
      <c r="Z1236" s="6"/>
      <c r="AA1236" s="61"/>
    </row>
    <row r="1237" spans="1:27" ht="13.5">
      <c r="A1237" s="23" t="s">
        <v>1629</v>
      </c>
      <c r="B1237" s="17">
        <f>3^8*5*7*11*13</f>
        <v>32837805</v>
      </c>
      <c r="C1237" s="17">
        <f>2^25</f>
        <v>33554432</v>
      </c>
      <c r="D1237" s="13">
        <f t="shared" si="25"/>
        <v>37.374768608873531</v>
      </c>
      <c r="E1237" s="61">
        <v>13</v>
      </c>
      <c r="F1237" s="65">
        <v>80.050397520699192</v>
      </c>
      <c r="G1237" s="6">
        <v>903</v>
      </c>
      <c r="H1237" s="6">
        <v>1478</v>
      </c>
      <c r="I1237" s="65">
        <v>-10.301300666943732</v>
      </c>
      <c r="J1237" s="6">
        <f>VLOOKUP($D1237,Sheet1!$A$5:$C$192,3,TRUE)</f>
        <v>7</v>
      </c>
      <c r="K1237" s="42" t="str">
        <f>VLOOKUP($D1237,Sheet1!$A$5:$C$192,2,TRUE)</f>
        <v>(|(</v>
      </c>
      <c r="L1237" s="6">
        <f>FLOOR(VLOOKUP($D1237,Sheet1!$D$5:$F$192,3,TRUE),1)</f>
        <v>16</v>
      </c>
      <c r="M1237" s="42" t="str">
        <f>VLOOKUP($D1237,Sheet1!$D$5:$F$192,2,TRUE)</f>
        <v>/|~</v>
      </c>
      <c r="N1237" s="23">
        <f>FLOOR(VLOOKUP($D1237,Sheet1!$G$5:$I$192,3,TRUE),1)</f>
        <v>19</v>
      </c>
      <c r="O1237" s="42" t="str">
        <f>VLOOKUP($D1237,Sheet1!$G$5:$I$192,2,TRUE)</f>
        <v>'~|)</v>
      </c>
      <c r="P1237" s="23">
        <v>1</v>
      </c>
      <c r="Q1237" s="43" t="str">
        <f>VLOOKUP($D1237,Sheet1!$J$5:$L$192,2,TRUE)</f>
        <v>'~|)</v>
      </c>
      <c r="R1237" s="23">
        <f>FLOOR(VLOOKUP($D1237,Sheet1!$M$5:$O$192,3,TRUE),1)</f>
        <v>77</v>
      </c>
      <c r="S1237" s="43" t="str">
        <f>VLOOKUP($D1237,Sheet1!$M$5:$O$192,2,TRUE)</f>
        <v>'~|)</v>
      </c>
      <c r="T1237" s="117">
        <f>IF(ABS(D1237-VLOOKUP($D1237,Sheet1!$M$5:$T$192,8,TRUE))&lt;10^-10,"SoCA",D1237-VLOOKUP($D1237,Sheet1!$M$5:$T$192,8,TRUE))</f>
        <v>-0.27576425192295062</v>
      </c>
      <c r="U1237" s="117" t="str">
        <f>IF(VLOOKUP($D1237,Sheet1!$M$5:$U$192,9,TRUE)=0,"",IF(ABS(D1237-VLOOKUP($D1237,Sheet1!$M$5:$U$192,9,TRUE))&lt;10^-10,"Alt.",D1237-VLOOKUP($D1237,Sheet1!$M$5:$U$192,9,TRUE)))</f>
        <v/>
      </c>
      <c r="V1237" s="132">
        <f>$D1237-Sheet1!$M$3*$R1237</f>
        <v>-0.19495442307418642</v>
      </c>
      <c r="Z1237" s="6"/>
      <c r="AA1237" s="61"/>
    </row>
    <row r="1238" spans="1:27" ht="13.5">
      <c r="A1238" t="s">
        <v>1585</v>
      </c>
      <c r="B1238">
        <v>4333568</v>
      </c>
      <c r="C1238">
        <v>4428675</v>
      </c>
      <c r="D1238" s="13">
        <f t="shared" si="25"/>
        <v>37.583742712100246</v>
      </c>
      <c r="E1238" s="61">
        <v>23</v>
      </c>
      <c r="F1238" s="65">
        <v>83.587977744705071</v>
      </c>
      <c r="G1238" s="6">
        <v>1492</v>
      </c>
      <c r="H1238" s="6">
        <v>1434</v>
      </c>
      <c r="I1238" s="65">
        <v>8.6858320361864898</v>
      </c>
      <c r="J1238" s="6">
        <f>VLOOKUP($D1238,Sheet1!$A$5:$C$192,3,TRUE)</f>
        <v>7</v>
      </c>
      <c r="K1238" s="42" t="str">
        <f>VLOOKUP($D1238,Sheet1!$A$5:$C$192,2,TRUE)</f>
        <v>(|(</v>
      </c>
      <c r="L1238" s="6">
        <f>FLOOR(VLOOKUP($D1238,Sheet1!$D$5:$F$192,3,TRUE),1)</f>
        <v>16</v>
      </c>
      <c r="M1238" s="42" t="str">
        <f>VLOOKUP($D1238,Sheet1!$D$5:$F$192,2,TRUE)</f>
        <v>/|~</v>
      </c>
      <c r="N1238" s="23">
        <f>FLOOR(VLOOKUP($D1238,Sheet1!$G$5:$I$192,3,TRUE),1)</f>
        <v>19</v>
      </c>
      <c r="O1238" s="42" t="str">
        <f>VLOOKUP($D1238,Sheet1!$G$5:$I$192,2,TRUE)</f>
        <v>'~|)</v>
      </c>
      <c r="P1238" s="23">
        <v>1</v>
      </c>
      <c r="Q1238" s="43" t="str">
        <f>VLOOKUP($D1238,Sheet1!$J$5:$L$192,2,TRUE)</f>
        <v>'~|)</v>
      </c>
      <c r="R1238" s="23">
        <f>FLOOR(VLOOKUP($D1238,Sheet1!$M$5:$O$192,3,TRUE),1)</f>
        <v>77</v>
      </c>
      <c r="S1238" s="42" t="str">
        <f>VLOOKUP($D1238,Sheet1!$M$5:$O$192,2,TRUE)</f>
        <v>'~|)</v>
      </c>
      <c r="T1238" s="117">
        <f>IF(ABS(D1238-VLOOKUP($D1238,Sheet1!$M$5:$T$192,8,TRUE))&lt;10^-10,"SoCA",D1238-VLOOKUP($D1238,Sheet1!$M$5:$T$192,8,TRUE))</f>
        <v>-6.6790148696235008E-2</v>
      </c>
      <c r="U1238" s="109" t="str">
        <f>IF(VLOOKUP($D1238,Sheet1!$M$5:$U$192,9,TRUE)=0,"",IF(ABS(D1238-VLOOKUP($D1238,Sheet1!$M$5:$U$192,9,TRUE))&lt;10^-10,"Alt.",D1238-VLOOKUP($D1238,Sheet1!$M$5:$U$192,9,TRUE)))</f>
        <v/>
      </c>
      <c r="V1238" s="132">
        <f>$D1238-Sheet1!$M$3*$R1238</f>
        <v>1.401968015252919E-2</v>
      </c>
      <c r="Z1238" s="6"/>
      <c r="AA1238" s="61"/>
    </row>
    <row r="1239" spans="1:27" ht="13.5">
      <c r="A1239" t="s">
        <v>1448</v>
      </c>
      <c r="B1239">
        <v>15552</v>
      </c>
      <c r="C1239">
        <v>15895</v>
      </c>
      <c r="D1239" s="13">
        <f t="shared" si="25"/>
        <v>37.767470903468904</v>
      </c>
      <c r="E1239" s="61">
        <v>17</v>
      </c>
      <c r="F1239" s="65">
        <v>92.099768841420783</v>
      </c>
      <c r="G1239" s="6">
        <v>1362</v>
      </c>
      <c r="H1239" s="6">
        <v>1297</v>
      </c>
      <c r="I1239" s="65">
        <v>-7.3254807779143221</v>
      </c>
      <c r="J1239" s="6">
        <f>VLOOKUP($D1239,Sheet1!$A$5:$C$192,3,TRUE)</f>
        <v>7</v>
      </c>
      <c r="K1239" s="42" t="str">
        <f>VLOOKUP($D1239,Sheet1!$A$5:$C$192,2,TRUE)</f>
        <v>(|(</v>
      </c>
      <c r="L1239" s="6">
        <f>FLOOR(VLOOKUP($D1239,Sheet1!$D$5:$F$192,3,TRUE),1)</f>
        <v>16</v>
      </c>
      <c r="M1239" s="42" t="str">
        <f>VLOOKUP($D1239,Sheet1!$D$5:$F$192,2,TRUE)</f>
        <v>/|~</v>
      </c>
      <c r="N1239" s="23">
        <f>FLOOR(VLOOKUP($D1239,Sheet1!$G$5:$I$192,3,TRUE),1)</f>
        <v>19</v>
      </c>
      <c r="O1239" s="42" t="str">
        <f>VLOOKUP($D1239,Sheet1!$G$5:$I$192,2,TRUE)</f>
        <v>'~|)</v>
      </c>
      <c r="P1239" s="23">
        <v>1</v>
      </c>
      <c r="Q1239" s="43" t="str">
        <f>VLOOKUP($D1239,Sheet1!$J$5:$L$192,2,TRUE)</f>
        <v>'~|)</v>
      </c>
      <c r="R1239" s="23">
        <f>FLOOR(VLOOKUP($D1239,Sheet1!$M$5:$O$192,3,TRUE),1)</f>
        <v>77</v>
      </c>
      <c r="S1239" s="42" t="str">
        <f>VLOOKUP($D1239,Sheet1!$M$5:$O$192,2,TRUE)</f>
        <v>'~|)</v>
      </c>
      <c r="T1239" s="117">
        <f>IF(ABS(D1239-VLOOKUP($D1239,Sheet1!$M$5:$T$192,8,TRUE))&lt;10^-10,"SoCA",D1239-VLOOKUP($D1239,Sheet1!$M$5:$T$192,8,TRUE))</f>
        <v>0.11693804267242314</v>
      </c>
      <c r="U1239" s="109" t="str">
        <f>IF(VLOOKUP($D1239,Sheet1!$M$5:$U$192,9,TRUE)=0,"",IF(ABS(D1239-VLOOKUP($D1239,Sheet1!$M$5:$U$192,9,TRUE))&lt;10^-10,"Alt.",D1239-VLOOKUP($D1239,Sheet1!$M$5:$U$192,9,TRUE)))</f>
        <v/>
      </c>
      <c r="V1239" s="132">
        <f>$D1239-Sheet1!$M$3*$R1239</f>
        <v>0.19774787152118734</v>
      </c>
      <c r="Z1239" s="6"/>
      <c r="AA1239" s="61"/>
    </row>
    <row r="1240" spans="1:27" ht="13.5">
      <c r="A1240" t="s">
        <v>467</v>
      </c>
      <c r="B1240">
        <v>1097728</v>
      </c>
      <c r="C1240">
        <v>1121931</v>
      </c>
      <c r="D1240" s="13">
        <f t="shared" si="25"/>
        <v>37.755996236849718</v>
      </c>
      <c r="E1240" s="61" t="s">
        <v>1931</v>
      </c>
      <c r="F1240" s="65">
        <v>101.19159336437309</v>
      </c>
      <c r="G1240" s="6">
        <v>293</v>
      </c>
      <c r="H1240" s="6">
        <v>305</v>
      </c>
      <c r="I1240" s="65">
        <v>7.6752257591139088</v>
      </c>
      <c r="J1240" s="6">
        <f>VLOOKUP($D1240,Sheet1!$A$5:$C$192,3,TRUE)</f>
        <v>7</v>
      </c>
      <c r="K1240" s="42" t="str">
        <f>VLOOKUP($D1240,Sheet1!$A$5:$C$192,2,TRUE)</f>
        <v>(|(</v>
      </c>
      <c r="L1240" s="6">
        <f>FLOOR(VLOOKUP($D1240,Sheet1!$D$5:$F$192,3,TRUE),1)</f>
        <v>16</v>
      </c>
      <c r="M1240" s="42" t="str">
        <f>VLOOKUP($D1240,Sheet1!$D$5:$F$192,2,TRUE)</f>
        <v>/|~</v>
      </c>
      <c r="N1240" s="23">
        <f>FLOOR(VLOOKUP($D1240,Sheet1!$G$5:$I$192,3,TRUE),1)</f>
        <v>19</v>
      </c>
      <c r="O1240" s="42" t="str">
        <f>VLOOKUP($D1240,Sheet1!$G$5:$I$192,2,TRUE)</f>
        <v>'~|)</v>
      </c>
      <c r="P1240" s="23">
        <v>1</v>
      </c>
      <c r="Q1240" s="43" t="str">
        <f>VLOOKUP($D1240,Sheet1!$J$5:$L$192,2,TRUE)</f>
        <v>'~|)</v>
      </c>
      <c r="R1240" s="23">
        <f>FLOOR(VLOOKUP($D1240,Sheet1!$M$5:$O$192,3,TRUE),1)</f>
        <v>77</v>
      </c>
      <c r="S1240" s="42" t="str">
        <f>VLOOKUP($D1240,Sheet1!$M$5:$O$192,2,TRUE)</f>
        <v>'~|)</v>
      </c>
      <c r="T1240" s="117">
        <f>IF(ABS(D1240-VLOOKUP($D1240,Sheet1!$M$5:$T$192,8,TRUE))&lt;10^-10,"SoCA",D1240-VLOOKUP($D1240,Sheet1!$M$5:$T$192,8,TRUE))</f>
        <v>0.10546337605323686</v>
      </c>
      <c r="U1240" s="109" t="str">
        <f>IF(VLOOKUP($D1240,Sheet1!$M$5:$U$192,9,TRUE)=0,"",IF(ABS(D1240-VLOOKUP($D1240,Sheet1!$M$5:$U$192,9,TRUE))&lt;10^-10,"Alt.",D1240-VLOOKUP($D1240,Sheet1!$M$5:$U$192,9,TRUE)))</f>
        <v/>
      </c>
      <c r="V1240" s="132">
        <f>$D1240-Sheet1!$M$3*$R1240</f>
        <v>0.18627320490200105</v>
      </c>
      <c r="Z1240" s="6"/>
      <c r="AA1240" s="61"/>
    </row>
    <row r="1241" spans="1:27" ht="13.5">
      <c r="A1241" t="s">
        <v>1586</v>
      </c>
      <c r="B1241">
        <v>5373952</v>
      </c>
      <c r="C1241">
        <v>5491557</v>
      </c>
      <c r="D1241" s="13">
        <f t="shared" si="25"/>
        <v>37.478176441811513</v>
      </c>
      <c r="E1241" s="61">
        <v>41</v>
      </c>
      <c r="F1241" s="65">
        <v>101.26533357437576</v>
      </c>
      <c r="G1241" s="6">
        <v>1493</v>
      </c>
      <c r="H1241" s="6">
        <v>1435</v>
      </c>
      <c r="I1241" s="65">
        <v>8.69233213604703</v>
      </c>
      <c r="J1241" s="6">
        <f>VLOOKUP($D1241,Sheet1!$A$5:$C$192,3,TRUE)</f>
        <v>7</v>
      </c>
      <c r="K1241" s="42" t="str">
        <f>VLOOKUP($D1241,Sheet1!$A$5:$C$192,2,TRUE)</f>
        <v>(|(</v>
      </c>
      <c r="L1241" s="6">
        <f>FLOOR(VLOOKUP($D1241,Sheet1!$D$5:$F$192,3,TRUE),1)</f>
        <v>16</v>
      </c>
      <c r="M1241" s="42" t="str">
        <f>VLOOKUP($D1241,Sheet1!$D$5:$F$192,2,TRUE)</f>
        <v>/|~</v>
      </c>
      <c r="N1241" s="23">
        <f>FLOOR(VLOOKUP($D1241,Sheet1!$G$5:$I$192,3,TRUE),1)</f>
        <v>19</v>
      </c>
      <c r="O1241" s="42" t="str">
        <f>VLOOKUP($D1241,Sheet1!$G$5:$I$192,2,TRUE)</f>
        <v>'~|)</v>
      </c>
      <c r="P1241" s="23">
        <v>1</v>
      </c>
      <c r="Q1241" s="43" t="str">
        <f>VLOOKUP($D1241,Sheet1!$J$5:$L$192,2,TRUE)</f>
        <v>'~|)</v>
      </c>
      <c r="R1241" s="23">
        <f>FLOOR(VLOOKUP($D1241,Sheet1!$M$5:$O$192,3,TRUE),1)</f>
        <v>77</v>
      </c>
      <c r="S1241" s="42" t="str">
        <f>VLOOKUP($D1241,Sheet1!$M$5:$O$192,2,TRUE)</f>
        <v>'~|)</v>
      </c>
      <c r="T1241" s="117">
        <f>IF(ABS(D1241-VLOOKUP($D1241,Sheet1!$M$5:$T$192,8,TRUE))&lt;10^-10,"SoCA",D1241-VLOOKUP($D1241,Sheet1!$M$5:$T$192,8,TRUE))</f>
        <v>-0.17235641898496823</v>
      </c>
      <c r="U1241" s="109" t="str">
        <f>IF(VLOOKUP($D1241,Sheet1!$M$5:$U$192,9,TRUE)=0,"",IF(ABS(D1241-VLOOKUP($D1241,Sheet1!$M$5:$U$192,9,TRUE))&lt;10^-10,"Alt.",D1241-VLOOKUP($D1241,Sheet1!$M$5:$U$192,9,TRUE)))</f>
        <v/>
      </c>
      <c r="V1241" s="132">
        <f>$D1241-Sheet1!$M$3*$R1241</f>
        <v>-9.1546590136204031E-2</v>
      </c>
      <c r="Z1241" s="6"/>
      <c r="AA1241" s="61"/>
    </row>
    <row r="1242" spans="1:27" ht="13.5">
      <c r="A1242" t="s">
        <v>1702</v>
      </c>
      <c r="B1242">
        <v>65011712</v>
      </c>
      <c r="C1242">
        <v>66430125</v>
      </c>
      <c r="D1242" s="13">
        <f t="shared" si="25"/>
        <v>37.365579514903402</v>
      </c>
      <c r="E1242" s="61">
        <v>31</v>
      </c>
      <c r="F1242" s="65">
        <v>117.08679525057059</v>
      </c>
      <c r="G1242" s="6">
        <v>1614</v>
      </c>
      <c r="H1242" s="6">
        <v>1551</v>
      </c>
      <c r="I1242" s="65">
        <v>9.6992651390497002</v>
      </c>
      <c r="J1242" s="6">
        <f>VLOOKUP($D1242,Sheet1!$A$5:$C$192,3,TRUE)</f>
        <v>7</v>
      </c>
      <c r="K1242" s="42" t="str">
        <f>VLOOKUP($D1242,Sheet1!$A$5:$C$192,2,TRUE)</f>
        <v>(|(</v>
      </c>
      <c r="L1242" s="6">
        <f>FLOOR(VLOOKUP($D1242,Sheet1!$D$5:$F$192,3,TRUE),1)</f>
        <v>16</v>
      </c>
      <c r="M1242" s="42" t="str">
        <f>VLOOKUP($D1242,Sheet1!$D$5:$F$192,2,TRUE)</f>
        <v>/|~</v>
      </c>
      <c r="N1242" s="23">
        <f>FLOOR(VLOOKUP($D1242,Sheet1!$G$5:$I$192,3,TRUE),1)</f>
        <v>19</v>
      </c>
      <c r="O1242" s="42" t="str">
        <f>VLOOKUP($D1242,Sheet1!$G$5:$I$192,2,TRUE)</f>
        <v>'~|)</v>
      </c>
      <c r="P1242" s="23">
        <v>1</v>
      </c>
      <c r="Q1242" s="43" t="str">
        <f>VLOOKUP($D1242,Sheet1!$J$5:$L$192,2,TRUE)</f>
        <v>'~|)</v>
      </c>
      <c r="R1242" s="23">
        <f>FLOOR(VLOOKUP($D1242,Sheet1!$M$5:$O$192,3,TRUE),1)</f>
        <v>77</v>
      </c>
      <c r="S1242" s="42" t="str">
        <f>VLOOKUP($D1242,Sheet1!$M$5:$O$192,2,TRUE)</f>
        <v>'~|)</v>
      </c>
      <c r="T1242" s="117">
        <f>IF(ABS(D1242-VLOOKUP($D1242,Sheet1!$M$5:$T$192,8,TRUE))&lt;10^-10,"SoCA",D1242-VLOOKUP($D1242,Sheet1!$M$5:$T$192,8,TRUE))</f>
        <v>-0.2849533458930793</v>
      </c>
      <c r="U1242" s="109" t="str">
        <f>IF(VLOOKUP($D1242,Sheet1!$M$5:$U$192,9,TRUE)=0,"",IF(ABS(D1242-VLOOKUP($D1242,Sheet1!$M$5:$U$192,9,TRUE))&lt;10^-10,"Alt.",D1242-VLOOKUP($D1242,Sheet1!$M$5:$U$192,9,TRUE)))</f>
        <v/>
      </c>
      <c r="V1242" s="132">
        <f>$D1242-Sheet1!$M$3*$R1242</f>
        <v>-0.2041435170443151</v>
      </c>
      <c r="Z1242" s="6"/>
      <c r="AA1242" s="61"/>
    </row>
    <row r="1243" spans="1:27" ht="13.5">
      <c r="A1243" t="s">
        <v>1135</v>
      </c>
      <c r="B1243">
        <v>6075</v>
      </c>
      <c r="C1243">
        <v>6208</v>
      </c>
      <c r="D1243" s="13">
        <f t="shared" si="25"/>
        <v>37.492978567946473</v>
      </c>
      <c r="E1243" s="61" t="s">
        <v>1931</v>
      </c>
      <c r="F1243" s="65">
        <v>130.86886777738633</v>
      </c>
      <c r="G1243" s="6">
        <v>901</v>
      </c>
      <c r="H1243" s="6">
        <v>984</v>
      </c>
      <c r="I1243" s="65">
        <v>-7.3085792847861821</v>
      </c>
      <c r="J1243" s="6">
        <f>VLOOKUP($D1243,Sheet1!$A$5:$C$192,3,TRUE)</f>
        <v>7</v>
      </c>
      <c r="K1243" s="42" t="str">
        <f>VLOOKUP($D1243,Sheet1!$A$5:$C$192,2,TRUE)</f>
        <v>(|(</v>
      </c>
      <c r="L1243" s="6">
        <f>FLOOR(VLOOKUP($D1243,Sheet1!$D$5:$F$192,3,TRUE),1)</f>
        <v>16</v>
      </c>
      <c r="M1243" s="42" t="str">
        <f>VLOOKUP($D1243,Sheet1!$D$5:$F$192,2,TRUE)</f>
        <v>/|~</v>
      </c>
      <c r="N1243" s="23">
        <f>FLOOR(VLOOKUP($D1243,Sheet1!$G$5:$I$192,3,TRUE),1)</f>
        <v>19</v>
      </c>
      <c r="O1243" s="42" t="str">
        <f>VLOOKUP($D1243,Sheet1!$G$5:$I$192,2,TRUE)</f>
        <v>'~|)</v>
      </c>
      <c r="P1243" s="23">
        <v>1</v>
      </c>
      <c r="Q1243" s="43" t="str">
        <f>VLOOKUP($D1243,Sheet1!$J$5:$L$192,2,TRUE)</f>
        <v>'~|)</v>
      </c>
      <c r="R1243" s="23">
        <f>FLOOR(VLOOKUP($D1243,Sheet1!$M$5:$O$192,3,TRUE),1)</f>
        <v>77</v>
      </c>
      <c r="S1243" s="42" t="str">
        <f>VLOOKUP($D1243,Sheet1!$M$5:$O$192,2,TRUE)</f>
        <v>'~|)</v>
      </c>
      <c r="T1243" s="117">
        <f>IF(ABS(D1243-VLOOKUP($D1243,Sheet1!$M$5:$T$192,8,TRUE))&lt;10^-10,"SoCA",D1243-VLOOKUP($D1243,Sheet1!$M$5:$T$192,8,TRUE))</f>
        <v>-0.15755429285000844</v>
      </c>
      <c r="U1243" s="109" t="str">
        <f>IF(VLOOKUP($D1243,Sheet1!$M$5:$U$192,9,TRUE)=0,"",IF(ABS(D1243-VLOOKUP($D1243,Sheet1!$M$5:$U$192,9,TRUE))&lt;10^-10,"Alt.",D1243-VLOOKUP($D1243,Sheet1!$M$5:$U$192,9,TRUE)))</f>
        <v/>
      </c>
      <c r="V1243" s="132">
        <f>$D1243-Sheet1!$M$3*$R1243</f>
        <v>-7.6744464001244239E-2</v>
      </c>
      <c r="Z1243" s="6"/>
      <c r="AA1243" s="61"/>
    </row>
    <row r="1244" spans="1:27" ht="13.5">
      <c r="A1244" t="s">
        <v>651</v>
      </c>
      <c r="B1244">
        <v>4202539929</v>
      </c>
      <c r="C1244">
        <v>4294967296</v>
      </c>
      <c r="D1244" s="13">
        <f t="shared" si="25"/>
        <v>37.662743054675907</v>
      </c>
      <c r="E1244" s="61">
        <v>7</v>
      </c>
      <c r="F1244" s="65">
        <v>149.89955361200555</v>
      </c>
      <c r="G1244" s="6">
        <v>417</v>
      </c>
      <c r="H1244" s="6">
        <v>496</v>
      </c>
      <c r="I1244" s="65">
        <v>-8.3190323027198119</v>
      </c>
      <c r="J1244" s="6">
        <f>VLOOKUP($D1244,Sheet1!$A$5:$C$192,3,TRUE)</f>
        <v>7</v>
      </c>
      <c r="K1244" s="42" t="str">
        <f>VLOOKUP($D1244,Sheet1!$A$5:$C$192,2,TRUE)</f>
        <v>(|(</v>
      </c>
      <c r="L1244" s="6">
        <f>FLOOR(VLOOKUP($D1244,Sheet1!$D$5:$F$192,3,TRUE),1)</f>
        <v>16</v>
      </c>
      <c r="M1244" s="42" t="str">
        <f>VLOOKUP($D1244,Sheet1!$D$5:$F$192,2,TRUE)</f>
        <v>/|~</v>
      </c>
      <c r="N1244" s="23">
        <f>FLOOR(VLOOKUP($D1244,Sheet1!$G$5:$I$192,3,TRUE),1)</f>
        <v>19</v>
      </c>
      <c r="O1244" s="42" t="str">
        <f>VLOOKUP($D1244,Sheet1!$G$5:$I$192,2,TRUE)</f>
        <v>'~|)</v>
      </c>
      <c r="P1244" s="23">
        <v>1</v>
      </c>
      <c r="Q1244" s="43" t="str">
        <f>VLOOKUP($D1244,Sheet1!$J$5:$L$192,2,TRUE)</f>
        <v>'~|)</v>
      </c>
      <c r="R1244" s="23">
        <f>FLOOR(VLOOKUP($D1244,Sheet1!$M$5:$O$192,3,TRUE),1)</f>
        <v>77</v>
      </c>
      <c r="S1244" s="42" t="str">
        <f>VLOOKUP($D1244,Sheet1!$M$5:$O$192,2,TRUE)</f>
        <v>'~|)</v>
      </c>
      <c r="T1244" s="117">
        <f>IF(ABS(D1244-VLOOKUP($D1244,Sheet1!$M$5:$T$192,8,TRUE))&lt;10^-10,"SoCA",D1244-VLOOKUP($D1244,Sheet1!$M$5:$T$192,8,TRUE))</f>
        <v>1.2210193879425901E-2</v>
      </c>
      <c r="U1244" s="109" t="str">
        <f>IF(VLOOKUP($D1244,Sheet1!$M$5:$U$192,9,TRUE)=0,"",IF(ABS(D1244-VLOOKUP($D1244,Sheet1!$M$5:$U$192,9,TRUE))&lt;10^-10,"Alt.",D1244-VLOOKUP($D1244,Sheet1!$M$5:$U$192,9,TRUE)))</f>
        <v/>
      </c>
      <c r="V1244" s="132">
        <f>$D1244-Sheet1!$M$3*$R1244</f>
        <v>9.3020022728190099E-2</v>
      </c>
      <c r="Z1244" s="6"/>
      <c r="AA1244" s="61"/>
    </row>
    <row r="1245" spans="1:27" ht="13.5">
      <c r="A1245" t="s">
        <v>962</v>
      </c>
      <c r="B1245">
        <v>137</v>
      </c>
      <c r="C1245">
        <v>140</v>
      </c>
      <c r="D1245" s="13">
        <f t="shared" si="25"/>
        <v>37.501120781327835</v>
      </c>
      <c r="E1245" s="61" t="s">
        <v>1931</v>
      </c>
      <c r="F1245" s="65">
        <v>178.88253613246306</v>
      </c>
      <c r="G1245" s="6">
        <v>873</v>
      </c>
      <c r="H1245" s="6">
        <v>810</v>
      </c>
      <c r="I1245" s="65">
        <v>-2.3090806305277702</v>
      </c>
      <c r="J1245" s="6">
        <f>VLOOKUP($D1245,Sheet1!$A$5:$C$192,3,TRUE)</f>
        <v>7</v>
      </c>
      <c r="K1245" s="42" t="str">
        <f>VLOOKUP($D1245,Sheet1!$A$5:$C$192,2,TRUE)</f>
        <v>(|(</v>
      </c>
      <c r="L1245" s="6">
        <f>FLOOR(VLOOKUP($D1245,Sheet1!$D$5:$F$192,3,TRUE),1)</f>
        <v>16</v>
      </c>
      <c r="M1245" s="42" t="str">
        <f>VLOOKUP($D1245,Sheet1!$D$5:$F$192,2,TRUE)</f>
        <v>/|~</v>
      </c>
      <c r="N1245" s="23">
        <f>FLOOR(VLOOKUP($D1245,Sheet1!$G$5:$I$192,3,TRUE),1)</f>
        <v>19</v>
      </c>
      <c r="O1245" s="42" t="str">
        <f>VLOOKUP($D1245,Sheet1!$G$5:$I$192,2,TRUE)</f>
        <v>'~|)</v>
      </c>
      <c r="P1245" s="23">
        <v>1</v>
      </c>
      <c r="Q1245" s="43" t="str">
        <f>VLOOKUP($D1245,Sheet1!$J$5:$L$192,2,TRUE)</f>
        <v>'~|)</v>
      </c>
      <c r="R1245" s="23">
        <f>FLOOR(VLOOKUP($D1245,Sheet1!$M$5:$O$192,3,TRUE),1)</f>
        <v>77</v>
      </c>
      <c r="S1245" s="42" t="str">
        <f>VLOOKUP($D1245,Sheet1!$M$5:$O$192,2,TRUE)</f>
        <v>'~|)</v>
      </c>
      <c r="T1245" s="117">
        <f>IF(ABS(D1245-VLOOKUP($D1245,Sheet1!$M$5:$T$192,8,TRUE))&lt;10^-10,"SoCA",D1245-VLOOKUP($D1245,Sheet1!$M$5:$T$192,8,TRUE))</f>
        <v>-0.14941207946864665</v>
      </c>
      <c r="U1245" s="109" t="str">
        <f>IF(VLOOKUP($D1245,Sheet1!$M$5:$U$192,9,TRUE)=0,"",IF(ABS(D1245-VLOOKUP($D1245,Sheet1!$M$5:$U$192,9,TRUE))&lt;10^-10,"Alt.",D1245-VLOOKUP($D1245,Sheet1!$M$5:$U$192,9,TRUE)))</f>
        <v/>
      </c>
      <c r="V1245" s="132">
        <f>$D1245-Sheet1!$M$3*$R1245</f>
        <v>-6.8602250619882454E-2</v>
      </c>
      <c r="Z1245" s="6"/>
      <c r="AA1245" s="61"/>
    </row>
    <row r="1246" spans="1:27" ht="13.5">
      <c r="A1246" t="s">
        <v>1115</v>
      </c>
      <c r="B1246">
        <v>47775744</v>
      </c>
      <c r="C1246">
        <v>48828125</v>
      </c>
      <c r="D1246" s="13">
        <f t="shared" si="25"/>
        <v>37.720847320858496</v>
      </c>
      <c r="E1246" s="61">
        <v>5</v>
      </c>
      <c r="F1246" s="65">
        <v>180.28999293024177</v>
      </c>
      <c r="G1246" s="6">
        <v>694</v>
      </c>
      <c r="H1246" s="6">
        <v>964</v>
      </c>
      <c r="I1246" s="65">
        <v>-8.322609994074039</v>
      </c>
      <c r="J1246" s="6">
        <f>VLOOKUP($D1246,Sheet1!$A$5:$C$192,3,TRUE)</f>
        <v>7</v>
      </c>
      <c r="K1246" s="42" t="str">
        <f>VLOOKUP($D1246,Sheet1!$A$5:$C$192,2,TRUE)</f>
        <v>(|(</v>
      </c>
      <c r="L1246" s="6">
        <f>FLOOR(VLOOKUP($D1246,Sheet1!$D$5:$F$192,3,TRUE),1)</f>
        <v>16</v>
      </c>
      <c r="M1246" s="42" t="str">
        <f>VLOOKUP($D1246,Sheet1!$D$5:$F$192,2,TRUE)</f>
        <v>/|~</v>
      </c>
      <c r="N1246" s="23">
        <f>FLOOR(VLOOKUP($D1246,Sheet1!$G$5:$I$192,3,TRUE),1)</f>
        <v>19</v>
      </c>
      <c r="O1246" s="42" t="str">
        <f>VLOOKUP($D1246,Sheet1!$G$5:$I$192,2,TRUE)</f>
        <v>'~|)</v>
      </c>
      <c r="P1246" s="23">
        <v>1</v>
      </c>
      <c r="Q1246" s="43" t="str">
        <f>VLOOKUP($D1246,Sheet1!$J$5:$L$192,2,TRUE)</f>
        <v>'~|)</v>
      </c>
      <c r="R1246" s="23">
        <f>FLOOR(VLOOKUP($D1246,Sheet1!$M$5:$O$192,3,TRUE),1)</f>
        <v>77</v>
      </c>
      <c r="S1246" s="42" t="str">
        <f>VLOOKUP($D1246,Sheet1!$M$5:$O$192,2,TRUE)</f>
        <v>'~|)</v>
      </c>
      <c r="T1246" s="117">
        <f>IF(ABS(D1246-VLOOKUP($D1246,Sheet1!$M$5:$T$192,8,TRUE))&lt;10^-10,"SoCA",D1246-VLOOKUP($D1246,Sheet1!$M$5:$T$192,8,TRUE))</f>
        <v>7.0314460062014916E-2</v>
      </c>
      <c r="U1246" s="109" t="str">
        <f>IF(VLOOKUP($D1246,Sheet1!$M$5:$U$192,9,TRUE)=0,"",IF(ABS(D1246-VLOOKUP($D1246,Sheet1!$M$5:$U$192,9,TRUE))&lt;10^-10,"Alt.",D1246-VLOOKUP($D1246,Sheet1!$M$5:$U$192,9,TRUE)))</f>
        <v/>
      </c>
      <c r="V1246" s="132">
        <f>$D1246-Sheet1!$M$3*$R1246</f>
        <v>0.15112428891077911</v>
      </c>
      <c r="Z1246" s="6"/>
      <c r="AA1246" s="61"/>
    </row>
    <row r="1247" spans="1:27" ht="13.5">
      <c r="A1247" s="6" t="s">
        <v>1877</v>
      </c>
      <c r="B1247">
        <v>1554957</v>
      </c>
      <c r="C1247">
        <v>1589248</v>
      </c>
      <c r="D1247" s="13">
        <f t="shared" si="25"/>
        <v>37.763505023542905</v>
      </c>
      <c r="E1247" s="61" t="s">
        <v>1931</v>
      </c>
      <c r="F1247" s="65">
        <v>220.05301498557631</v>
      </c>
      <c r="G1247" s="59">
        <v>1713</v>
      </c>
      <c r="H1247" s="63">
        <v>1000082</v>
      </c>
      <c r="I1247" s="65">
        <v>-11.325236584238791</v>
      </c>
      <c r="J1247" s="6">
        <f>VLOOKUP($D1247,Sheet1!$A$5:$C$192,3,TRUE)</f>
        <v>7</v>
      </c>
      <c r="K1247" s="42" t="str">
        <f>VLOOKUP($D1247,Sheet1!$A$5:$C$192,2,TRUE)</f>
        <v>(|(</v>
      </c>
      <c r="L1247" s="6">
        <f>FLOOR(VLOOKUP($D1247,Sheet1!$D$5:$F$192,3,TRUE),1)</f>
        <v>16</v>
      </c>
      <c r="M1247" s="42" t="str">
        <f>VLOOKUP($D1247,Sheet1!$D$5:$F$192,2,TRUE)</f>
        <v>/|~</v>
      </c>
      <c r="N1247" s="23">
        <f>FLOOR(VLOOKUP($D1247,Sheet1!$G$5:$I$192,3,TRUE),1)</f>
        <v>19</v>
      </c>
      <c r="O1247" s="42" t="str">
        <f>VLOOKUP($D1247,Sheet1!$G$5:$I$192,2,TRUE)</f>
        <v>'~|)</v>
      </c>
      <c r="P1247" s="23">
        <v>1</v>
      </c>
      <c r="Q1247" s="43" t="str">
        <f>VLOOKUP($D1247,Sheet1!$J$5:$L$192,2,TRUE)</f>
        <v>'~|)</v>
      </c>
      <c r="R1247" s="23">
        <f>FLOOR(VLOOKUP($D1247,Sheet1!$M$5:$O$192,3,TRUE),1)</f>
        <v>77</v>
      </c>
      <c r="S1247" s="42" t="str">
        <f>VLOOKUP($D1247,Sheet1!$M$5:$O$192,2,TRUE)</f>
        <v>'~|)</v>
      </c>
      <c r="T1247" s="117">
        <f>IF(ABS(D1247-VLOOKUP($D1247,Sheet1!$M$5:$T$192,8,TRUE))&lt;10^-10,"SoCA",D1247-VLOOKUP($D1247,Sheet1!$M$5:$T$192,8,TRUE))</f>
        <v>0.11297216274642352</v>
      </c>
      <c r="U1247" s="109" t="str">
        <f>IF(VLOOKUP($D1247,Sheet1!$M$5:$U$192,9,TRUE)=0,"",IF(ABS(D1247-VLOOKUP($D1247,Sheet1!$M$5:$U$192,9,TRUE))&lt;10^-10,"Alt.",D1247-VLOOKUP($D1247,Sheet1!$M$5:$U$192,9,TRUE)))</f>
        <v/>
      </c>
      <c r="V1247" s="132">
        <f>$D1247-Sheet1!$M$3*$R1247</f>
        <v>0.19378199159518772</v>
      </c>
      <c r="Z1247" s="6"/>
      <c r="AA1247" s="61"/>
    </row>
    <row r="1248" spans="1:27" ht="13.5">
      <c r="A1248" t="s">
        <v>1055</v>
      </c>
      <c r="B1248">
        <v>4893</v>
      </c>
      <c r="C1248">
        <v>5000</v>
      </c>
      <c r="D1248" s="13">
        <f t="shared" si="25"/>
        <v>37.450574539690599</v>
      </c>
      <c r="E1248" s="61" t="s">
        <v>1931</v>
      </c>
      <c r="F1248" s="65">
        <v>364.18287419836975</v>
      </c>
      <c r="G1248" s="6">
        <v>971</v>
      </c>
      <c r="H1248" s="6">
        <v>904</v>
      </c>
      <c r="I1248" s="65">
        <v>-3.3059683142801815</v>
      </c>
      <c r="J1248" s="6">
        <f>VLOOKUP($D1248,Sheet1!$A$5:$C$192,3,TRUE)</f>
        <v>7</v>
      </c>
      <c r="K1248" s="42" t="str">
        <f>VLOOKUP($D1248,Sheet1!$A$5:$C$192,2,TRUE)</f>
        <v>(|(</v>
      </c>
      <c r="L1248" s="6">
        <f>FLOOR(VLOOKUP($D1248,Sheet1!$D$5:$F$192,3,TRUE),1)</f>
        <v>16</v>
      </c>
      <c r="M1248" s="42" t="str">
        <f>VLOOKUP($D1248,Sheet1!$D$5:$F$192,2,TRUE)</f>
        <v>/|~</v>
      </c>
      <c r="N1248" s="23">
        <f>FLOOR(VLOOKUP($D1248,Sheet1!$G$5:$I$192,3,TRUE),1)</f>
        <v>19</v>
      </c>
      <c r="O1248" s="42" t="str">
        <f>VLOOKUP($D1248,Sheet1!$G$5:$I$192,2,TRUE)</f>
        <v>'~|)</v>
      </c>
      <c r="P1248" s="23">
        <v>1</v>
      </c>
      <c r="Q1248" s="43" t="str">
        <f>VLOOKUP($D1248,Sheet1!$J$5:$L$192,2,TRUE)</f>
        <v>'~|)</v>
      </c>
      <c r="R1248" s="23">
        <f>FLOOR(VLOOKUP($D1248,Sheet1!$M$5:$O$192,3,TRUE),1)</f>
        <v>77</v>
      </c>
      <c r="S1248" s="42" t="str">
        <f>VLOOKUP($D1248,Sheet1!$M$5:$O$192,2,TRUE)</f>
        <v>'~|)</v>
      </c>
      <c r="T1248" s="117">
        <f>IF(ABS(D1248-VLOOKUP($D1248,Sheet1!$M$5:$T$192,8,TRUE))&lt;10^-10,"SoCA",D1248-VLOOKUP($D1248,Sheet1!$M$5:$T$192,8,TRUE))</f>
        <v>-0.19995832110588196</v>
      </c>
      <c r="U1248" s="109" t="str">
        <f>IF(VLOOKUP($D1248,Sheet1!$M$5:$U$192,9,TRUE)=0,"",IF(ABS(D1248-VLOOKUP($D1248,Sheet1!$M$5:$U$192,9,TRUE))&lt;10^-10,"Alt.",D1248-VLOOKUP($D1248,Sheet1!$M$5:$U$192,9,TRUE)))</f>
        <v/>
      </c>
      <c r="V1248" s="132">
        <f>$D1248-Sheet1!$M$3*$R1248</f>
        <v>-0.11914849225711777</v>
      </c>
      <c r="Z1248" s="6"/>
      <c r="AA1248" s="61"/>
    </row>
    <row r="1249" spans="1:27" ht="13.5">
      <c r="A1249" s="36" t="s">
        <v>151</v>
      </c>
      <c r="B1249" s="36">
        <f>2^7*13</f>
        <v>1664</v>
      </c>
      <c r="C1249" s="36">
        <f>3^5*7</f>
        <v>1701</v>
      </c>
      <c r="D1249" s="13">
        <f t="shared" si="25"/>
        <v>38.073249026751341</v>
      </c>
      <c r="E1249" s="61">
        <v>13</v>
      </c>
      <c r="F1249" s="65">
        <v>20.327013434013754</v>
      </c>
      <c r="G1249" s="6">
        <v>31</v>
      </c>
      <c r="H1249" s="6">
        <v>30</v>
      </c>
      <c r="I1249" s="65">
        <v>2.6556913490248237</v>
      </c>
      <c r="J1249" s="6">
        <f>VLOOKUP($D1249,Sheet1!$A$5:$C$192,3,TRUE)</f>
        <v>7</v>
      </c>
      <c r="K1249" s="42" t="str">
        <f>VLOOKUP($D1249,Sheet1!$A$5:$C$192,2,TRUE)</f>
        <v>(|(</v>
      </c>
      <c r="L1249" s="6">
        <f>FLOOR(VLOOKUP($D1249,Sheet1!$D$5:$F$192,3,TRUE),1)</f>
        <v>16</v>
      </c>
      <c r="M1249" s="42" t="str">
        <f>VLOOKUP($D1249,Sheet1!$D$5:$F$192,2,TRUE)</f>
        <v>(|(</v>
      </c>
      <c r="N1249" s="23">
        <f>FLOOR(VLOOKUP($D1249,Sheet1!$G$5:$I$192,3,TRUE),1)</f>
        <v>20</v>
      </c>
      <c r="O1249" s="42" t="str">
        <f>VLOOKUP($D1249,Sheet1!$G$5:$I$192,2,TRUE)</f>
        <v>(|(</v>
      </c>
      <c r="P1249" s="23">
        <v>1</v>
      </c>
      <c r="Q1249" s="45" t="str">
        <f>VLOOKUP($D1249,Sheet1!$J$5:$L$192,2,TRUE)</f>
        <v>(|(..</v>
      </c>
      <c r="R1249" s="38">
        <f>FLOOR(VLOOKUP($D1249,Sheet1!$M$5:$O$192,3,TRUE),1)</f>
        <v>78</v>
      </c>
      <c r="S1249" s="45" t="str">
        <f>VLOOKUP($D1249,Sheet1!$M$5:$O$192,2,TRUE)</f>
        <v>(|(..</v>
      </c>
      <c r="T1249" s="112" t="str">
        <f>IF(ABS(D1249-VLOOKUP($D1249,Sheet1!$M$5:$T$192,8,TRUE))&lt;10^-10,"SoCA",D1249-VLOOKUP($D1249,Sheet1!$M$5:$T$192,8,TRUE))</f>
        <v>SoCA</v>
      </c>
      <c r="U1249" s="108">
        <f>IF(VLOOKUP($D1249,Sheet1!$M$5:$U$192,9,TRUE)=0,"",IF(ABS(D1249-VLOOKUP($D1249,Sheet1!$M$5:$U$192,9,TRUE))&lt;10^-10,"Alt.",D1249-VLOOKUP($D1249,Sheet1!$M$5:$U$192,9,TRUE)))</f>
        <v>-1.4052167394432047E-2</v>
      </c>
      <c r="V1249" s="133">
        <f>$D1249-Sheet1!$M$3*$R1249</f>
        <v>1.5607513869234424E-2</v>
      </c>
      <c r="Z1249" s="6"/>
      <c r="AA1249" s="61"/>
    </row>
    <row r="1250" spans="1:27" ht="13.5">
      <c r="A1250" s="33" t="s">
        <v>149</v>
      </c>
      <c r="B1250" s="33">
        <f>3^2*5</f>
        <v>45</v>
      </c>
      <c r="C1250" s="33">
        <f>2*23</f>
        <v>46</v>
      </c>
      <c r="D1250" s="13">
        <f t="shared" si="25"/>
        <v>38.050631672805665</v>
      </c>
      <c r="E1250" s="61">
        <v>23</v>
      </c>
      <c r="F1250" s="65">
        <v>28.228223032740175</v>
      </c>
      <c r="G1250" s="6">
        <v>78</v>
      </c>
      <c r="H1250" s="6">
        <v>75</v>
      </c>
      <c r="I1250" s="65">
        <v>-4.3429160180932342</v>
      </c>
      <c r="J1250" s="6">
        <f>VLOOKUP($D1250,Sheet1!$A$5:$C$192,3,TRUE)</f>
        <v>7</v>
      </c>
      <c r="K1250" s="42" t="str">
        <f>VLOOKUP($D1250,Sheet1!$A$5:$C$192,2,TRUE)</f>
        <v>(|(</v>
      </c>
      <c r="L1250" s="34">
        <f>FLOOR(VLOOKUP($D1250,Sheet1!$D$5:$F$192,3,TRUE),1)</f>
        <v>16</v>
      </c>
      <c r="M1250" s="41" t="str">
        <f>VLOOKUP($D1250,Sheet1!$D$5:$F$192,2,TRUE)</f>
        <v>/|~</v>
      </c>
      <c r="N1250" s="34">
        <f>FLOOR(VLOOKUP($D1250,Sheet1!$G$5:$I$192,3,TRUE),1)</f>
        <v>19</v>
      </c>
      <c r="O1250" s="41" t="str">
        <f>VLOOKUP($D1250,Sheet1!$G$5:$I$192,2,TRUE)</f>
        <v>/|~</v>
      </c>
      <c r="P1250" s="34">
        <v>1</v>
      </c>
      <c r="Q1250" s="41" t="str">
        <f>VLOOKUP($D1250,Sheet1!$J$5:$L$192,2,TRUE)</f>
        <v>/|~</v>
      </c>
      <c r="R1250" s="34">
        <f>FLOOR(VLOOKUP($D1250,Sheet1!$M$5:$O$192,3,TRUE),1)</f>
        <v>78</v>
      </c>
      <c r="S1250" s="41" t="str">
        <f>VLOOKUP($D1250,Sheet1!$M$5:$O$192,2,TRUE)</f>
        <v>/|~</v>
      </c>
      <c r="T1250" s="114" t="str">
        <f>IF(ABS(D1250-VLOOKUP($D1250,Sheet1!$M$5:$T$192,8,TRUE))&lt;10^-10,"SoCA",D1250-VLOOKUP($D1250,Sheet1!$M$5:$T$192,8,TRUE))</f>
        <v>SoCA</v>
      </c>
      <c r="U1250" s="126" t="str">
        <f>IF(VLOOKUP($D1250,Sheet1!$M$5:$U$192,9,TRUE)=0,"",IF(ABS(D1250-VLOOKUP($D1250,Sheet1!$M$5:$U$192,9,TRUE))&lt;10^-10,"Alt.",D1250-VLOOKUP($D1250,Sheet1!$M$5:$U$192,9,TRUE)))</f>
        <v/>
      </c>
      <c r="V1250" s="137">
        <f>$D1250-Sheet1!$M$3*$R1250</f>
        <v>-7.0098400764422308E-3</v>
      </c>
      <c r="Z1250" s="6"/>
      <c r="AA1250" s="61"/>
    </row>
    <row r="1251" spans="1:27" ht="13.5">
      <c r="A1251" t="s">
        <v>699</v>
      </c>
      <c r="B1251">
        <v>20971520</v>
      </c>
      <c r="C1251">
        <v>21434787</v>
      </c>
      <c r="D1251" s="13">
        <f t="shared" si="25"/>
        <v>37.827180383940345</v>
      </c>
      <c r="E1251" s="61">
        <v>11</v>
      </c>
      <c r="F1251" s="65">
        <v>55.238919958634952</v>
      </c>
      <c r="G1251" s="6">
        <v>442</v>
      </c>
      <c r="H1251" s="6">
        <v>544</v>
      </c>
      <c r="I1251" s="65">
        <v>8.6708426918395709</v>
      </c>
      <c r="J1251" s="6">
        <f>VLOOKUP($D1251,Sheet1!$A$5:$C$192,3,TRUE)</f>
        <v>7</v>
      </c>
      <c r="K1251" s="42" t="str">
        <f>VLOOKUP($D1251,Sheet1!$A$5:$C$192,2,TRUE)</f>
        <v>(|(</v>
      </c>
      <c r="L1251" s="6">
        <f>FLOOR(VLOOKUP($D1251,Sheet1!$D$5:$F$192,3,TRUE),1)</f>
        <v>16</v>
      </c>
      <c r="M1251" s="42" t="str">
        <f>VLOOKUP($D1251,Sheet1!$D$5:$F$192,2,TRUE)</f>
        <v>/|~</v>
      </c>
      <c r="N1251" s="23">
        <f>FLOOR(VLOOKUP($D1251,Sheet1!$G$5:$I$192,3,TRUE),1)</f>
        <v>19</v>
      </c>
      <c r="O1251" s="42" t="str">
        <f>VLOOKUP($D1251,Sheet1!$G$5:$I$192,2,TRUE)</f>
        <v>/|~</v>
      </c>
      <c r="P1251" s="23">
        <v>1</v>
      </c>
      <c r="Q1251" s="43" t="str">
        <f>VLOOKUP($D1251,Sheet1!$J$5:$L$192,2,TRUE)</f>
        <v>/|~</v>
      </c>
      <c r="R1251" s="23">
        <f>FLOOR(VLOOKUP($D1251,Sheet1!$M$5:$O$192,3,TRUE),1)</f>
        <v>78</v>
      </c>
      <c r="S1251" s="42" t="str">
        <f>VLOOKUP($D1251,Sheet1!$M$5:$O$192,2,TRUE)</f>
        <v>/|~</v>
      </c>
      <c r="T1251" s="117">
        <f>IF(ABS(D1251-VLOOKUP($D1251,Sheet1!$M$5:$T$192,8,TRUE))&lt;10^-10,"SoCA",D1251-VLOOKUP($D1251,Sheet1!$M$5:$T$192,8,TRUE))</f>
        <v>-0.22345128886531995</v>
      </c>
      <c r="U1251" s="109" t="str">
        <f>IF(VLOOKUP($D1251,Sheet1!$M$5:$U$192,9,TRUE)=0,"",IF(ABS(D1251-VLOOKUP($D1251,Sheet1!$M$5:$U$192,9,TRUE))&lt;10^-10,"Alt.",D1251-VLOOKUP($D1251,Sheet1!$M$5:$U$192,9,TRUE)))</f>
        <v/>
      </c>
      <c r="V1251" s="132">
        <f>$D1251-Sheet1!$M$3*$R1251</f>
        <v>-0.23046112894176218</v>
      </c>
      <c r="Z1251" s="6"/>
      <c r="AA1251" s="61"/>
    </row>
    <row r="1252" spans="1:27" ht="13.5">
      <c r="A1252" t="s">
        <v>1200</v>
      </c>
      <c r="B1252">
        <v>3407872</v>
      </c>
      <c r="C1252">
        <v>3483891</v>
      </c>
      <c r="D1252" s="13">
        <f t="shared" ref="D1252:D1283" si="26">1200*LN($C1252/$B1252)/LN(2)</f>
        <v>38.194006118773039</v>
      </c>
      <c r="E1252" s="61" t="s">
        <v>1931</v>
      </c>
      <c r="F1252" s="65">
        <v>86.558679118495945</v>
      </c>
      <c r="G1252" s="6">
        <v>969</v>
      </c>
      <c r="H1252" s="6">
        <v>1049</v>
      </c>
      <c r="I1252" s="65">
        <v>7.6482558949270096</v>
      </c>
      <c r="J1252" s="6">
        <f>VLOOKUP($D1252,Sheet1!$A$5:$C$192,3,TRUE)</f>
        <v>7</v>
      </c>
      <c r="K1252" s="42" t="str">
        <f>VLOOKUP($D1252,Sheet1!$A$5:$C$192,2,TRUE)</f>
        <v>(|(</v>
      </c>
      <c r="L1252" s="6">
        <f>FLOOR(VLOOKUP($D1252,Sheet1!$D$5:$F$192,3,TRUE),1)</f>
        <v>16</v>
      </c>
      <c r="M1252" s="42" t="str">
        <f>VLOOKUP($D1252,Sheet1!$D$5:$F$192,2,TRUE)</f>
        <v>(|(</v>
      </c>
      <c r="N1252" s="23">
        <f>FLOOR(VLOOKUP($D1252,Sheet1!$G$5:$I$192,3,TRUE),1)</f>
        <v>20</v>
      </c>
      <c r="O1252" s="42" t="str">
        <f>VLOOKUP($D1252,Sheet1!$G$5:$I$192,2,TRUE)</f>
        <v>(|(</v>
      </c>
      <c r="P1252" s="23">
        <v>1</v>
      </c>
      <c r="Q1252" s="43" t="str">
        <f>VLOOKUP($D1252,Sheet1!$J$5:$L$192,2,TRUE)</f>
        <v>(|(..</v>
      </c>
      <c r="R1252" s="23">
        <f>FLOOR(VLOOKUP($D1252,Sheet1!$M$5:$O$192,3,TRUE),1)</f>
        <v>78</v>
      </c>
      <c r="S1252" s="42" t="str">
        <f>VLOOKUP($D1252,Sheet1!$M$5:$O$192,2,TRUE)</f>
        <v>(|(..</v>
      </c>
      <c r="T1252" s="117">
        <f>IF(ABS(D1252-VLOOKUP($D1252,Sheet1!$M$5:$T$192,8,TRUE))&lt;10^-10,"SoCA",D1252-VLOOKUP($D1252,Sheet1!$M$5:$T$192,8,TRUE))</f>
        <v>0.12075709202171936</v>
      </c>
      <c r="U1252" s="109">
        <f>IF(VLOOKUP($D1252,Sheet1!$M$5:$U$192,9,TRUE)=0,"",IF(ABS(D1252-VLOOKUP($D1252,Sheet1!$M$5:$U$192,9,TRUE))&lt;10^-10,"Alt.",D1252-VLOOKUP($D1252,Sheet1!$M$5:$U$192,9,TRUE)))</f>
        <v>0.106704924627266</v>
      </c>
      <c r="V1252" s="132">
        <f>$D1252-Sheet1!$M$3*$R1252</f>
        <v>0.13636460589093247</v>
      </c>
      <c r="Z1252" s="6"/>
      <c r="AA1252" s="61"/>
    </row>
    <row r="1253" spans="1:27" ht="13.5">
      <c r="A1253" t="s">
        <v>1191</v>
      </c>
      <c r="B1253">
        <v>143360</v>
      </c>
      <c r="C1253">
        <v>146529</v>
      </c>
      <c r="D1253" s="13">
        <f t="shared" si="26"/>
        <v>37.852414273079212</v>
      </c>
      <c r="E1253" s="61" t="s">
        <v>1931</v>
      </c>
      <c r="F1253" s="65">
        <v>96.662520910166464</v>
      </c>
      <c r="G1253" s="6">
        <v>1096</v>
      </c>
      <c r="H1253" s="6">
        <v>1040</v>
      </c>
      <c r="I1253" s="65">
        <v>4.669288949353227</v>
      </c>
      <c r="J1253" s="6">
        <f>VLOOKUP($D1253,Sheet1!$A$5:$C$192,3,TRUE)</f>
        <v>7</v>
      </c>
      <c r="K1253" s="42" t="str">
        <f>VLOOKUP($D1253,Sheet1!$A$5:$C$192,2,TRUE)</f>
        <v>(|(</v>
      </c>
      <c r="L1253" s="6">
        <f>FLOOR(VLOOKUP($D1253,Sheet1!$D$5:$F$192,3,TRUE),1)</f>
        <v>16</v>
      </c>
      <c r="M1253" s="42" t="str">
        <f>VLOOKUP($D1253,Sheet1!$D$5:$F$192,2,TRUE)</f>
        <v>/|~</v>
      </c>
      <c r="N1253" s="23">
        <f>FLOOR(VLOOKUP($D1253,Sheet1!$G$5:$I$192,3,TRUE),1)</f>
        <v>19</v>
      </c>
      <c r="O1253" s="42" t="str">
        <f>VLOOKUP($D1253,Sheet1!$G$5:$I$192,2,TRUE)</f>
        <v>/|~</v>
      </c>
      <c r="P1253" s="23">
        <v>1</v>
      </c>
      <c r="Q1253" s="43" t="str">
        <f>VLOOKUP($D1253,Sheet1!$J$5:$L$192,2,TRUE)</f>
        <v>/|~</v>
      </c>
      <c r="R1253" s="23">
        <f>FLOOR(VLOOKUP($D1253,Sheet1!$M$5:$O$192,3,TRUE),1)</f>
        <v>78</v>
      </c>
      <c r="S1253" s="42" t="str">
        <f>VLOOKUP($D1253,Sheet1!$M$5:$O$192,2,TRUE)</f>
        <v>/|~</v>
      </c>
      <c r="T1253" s="117">
        <f>IF(ABS(D1253-VLOOKUP($D1253,Sheet1!$M$5:$T$192,8,TRUE))&lt;10^-10,"SoCA",D1253-VLOOKUP($D1253,Sheet1!$M$5:$T$192,8,TRUE))</f>
        <v>-0.19821739972645247</v>
      </c>
      <c r="U1253" s="109" t="str">
        <f>IF(VLOOKUP($D1253,Sheet1!$M$5:$U$192,9,TRUE)=0,"",IF(ABS(D1253-VLOOKUP($D1253,Sheet1!$M$5:$U$192,9,TRUE))&lt;10^-10,"Alt.",D1253-VLOOKUP($D1253,Sheet1!$M$5:$U$192,9,TRUE)))</f>
        <v/>
      </c>
      <c r="V1253" s="132">
        <f>$D1253-Sheet1!$M$3*$R1253</f>
        <v>-0.2052272398028947</v>
      </c>
      <c r="Z1253" s="6"/>
      <c r="AA1253" s="61"/>
    </row>
    <row r="1254" spans="1:27" ht="13.5">
      <c r="A1254" t="s">
        <v>964</v>
      </c>
      <c r="B1254">
        <v>1048576</v>
      </c>
      <c r="C1254">
        <v>1071875</v>
      </c>
      <c r="D1254" s="13">
        <f t="shared" si="26"/>
        <v>38.046288731548877</v>
      </c>
      <c r="E1254" s="61">
        <v>7</v>
      </c>
      <c r="F1254" s="65">
        <v>119.66493010785247</v>
      </c>
      <c r="G1254" s="6">
        <v>875</v>
      </c>
      <c r="H1254" s="6">
        <v>812</v>
      </c>
      <c r="I1254" s="65">
        <v>-2.3426486073778574</v>
      </c>
      <c r="J1254" s="6">
        <f>VLOOKUP($D1254,Sheet1!$A$5:$C$192,3,TRUE)</f>
        <v>7</v>
      </c>
      <c r="K1254" s="42" t="str">
        <f>VLOOKUP($D1254,Sheet1!$A$5:$C$192,2,TRUE)</f>
        <v>(|(</v>
      </c>
      <c r="L1254" s="6">
        <f>FLOOR(VLOOKUP($D1254,Sheet1!$D$5:$F$192,3,TRUE),1)</f>
        <v>16</v>
      </c>
      <c r="M1254" s="42" t="str">
        <f>VLOOKUP($D1254,Sheet1!$D$5:$F$192,2,TRUE)</f>
        <v>/|~</v>
      </c>
      <c r="N1254" s="23">
        <f>FLOOR(VLOOKUP($D1254,Sheet1!$G$5:$I$192,3,TRUE),1)</f>
        <v>19</v>
      </c>
      <c r="O1254" s="42" t="str">
        <f>VLOOKUP($D1254,Sheet1!$G$5:$I$192,2,TRUE)</f>
        <v>/|~</v>
      </c>
      <c r="P1254" s="23">
        <v>1</v>
      </c>
      <c r="Q1254" s="43" t="str">
        <f>VLOOKUP($D1254,Sheet1!$J$5:$L$192,2,TRUE)</f>
        <v>/|~</v>
      </c>
      <c r="R1254" s="23">
        <f>FLOOR(VLOOKUP($D1254,Sheet1!$M$5:$O$192,3,TRUE),1)</f>
        <v>78</v>
      </c>
      <c r="S1254" s="42" t="str">
        <f>VLOOKUP($D1254,Sheet1!$M$5:$O$192,2,TRUE)</f>
        <v>/|~</v>
      </c>
      <c r="T1254" s="117">
        <f>IF(ABS(D1254-VLOOKUP($D1254,Sheet1!$M$5:$T$192,8,TRUE))&lt;10^-10,"SoCA",D1254-VLOOKUP($D1254,Sheet1!$M$5:$T$192,8,TRUE))</f>
        <v>-4.3429412567874692E-3</v>
      </c>
      <c r="U1254" s="109" t="str">
        <f>IF(VLOOKUP($D1254,Sheet1!$M$5:$U$192,9,TRUE)=0,"",IF(ABS(D1254-VLOOKUP($D1254,Sheet1!$M$5:$U$192,9,TRUE))&lt;10^-10,"Alt.",D1254-VLOOKUP($D1254,Sheet1!$M$5:$U$192,9,TRUE)))</f>
        <v/>
      </c>
      <c r="V1254" s="132">
        <f>$D1254-Sheet1!$M$3*$R1254</f>
        <v>-1.13527813332297E-2</v>
      </c>
      <c r="Z1254" s="6"/>
      <c r="AA1254" s="61"/>
    </row>
    <row r="1255" spans="1:27" ht="13.5">
      <c r="A1255" t="s">
        <v>1289</v>
      </c>
      <c r="B1255">
        <v>622592</v>
      </c>
      <c r="C1255">
        <v>636417</v>
      </c>
      <c r="D1255" s="13">
        <f t="shared" si="26"/>
        <v>38.022401415349869</v>
      </c>
      <c r="E1255" s="61" t="s">
        <v>1931</v>
      </c>
      <c r="F1255" s="65">
        <v>120.03911781027028</v>
      </c>
      <c r="G1255" s="6">
        <v>1197</v>
      </c>
      <c r="H1255" s="6">
        <v>1138</v>
      </c>
      <c r="I1255" s="65">
        <v>5.6588222217067461</v>
      </c>
      <c r="J1255" s="6">
        <f>VLOOKUP($D1255,Sheet1!$A$5:$C$192,3,TRUE)</f>
        <v>7</v>
      </c>
      <c r="K1255" s="42" t="str">
        <f>VLOOKUP($D1255,Sheet1!$A$5:$C$192,2,TRUE)</f>
        <v>(|(</v>
      </c>
      <c r="L1255" s="6">
        <f>FLOOR(VLOOKUP($D1255,Sheet1!$D$5:$F$192,3,TRUE),1)</f>
        <v>16</v>
      </c>
      <c r="M1255" s="42" t="str">
        <f>VLOOKUP($D1255,Sheet1!$D$5:$F$192,2,TRUE)</f>
        <v>/|~</v>
      </c>
      <c r="N1255" s="23">
        <f>FLOOR(VLOOKUP($D1255,Sheet1!$G$5:$I$192,3,TRUE),1)</f>
        <v>19</v>
      </c>
      <c r="O1255" s="42" t="str">
        <f>VLOOKUP($D1255,Sheet1!$G$5:$I$192,2,TRUE)</f>
        <v>/|~</v>
      </c>
      <c r="P1255" s="23">
        <v>1</v>
      </c>
      <c r="Q1255" s="43" t="str">
        <f>VLOOKUP($D1255,Sheet1!$J$5:$L$192,2,TRUE)</f>
        <v>/|~</v>
      </c>
      <c r="R1255" s="23">
        <f>FLOOR(VLOOKUP($D1255,Sheet1!$M$5:$O$192,3,TRUE),1)</f>
        <v>78</v>
      </c>
      <c r="S1255" s="42" t="str">
        <f>VLOOKUP($D1255,Sheet1!$M$5:$O$192,2,TRUE)</f>
        <v>/|~</v>
      </c>
      <c r="T1255" s="117">
        <f>IF(ABS(D1255-VLOOKUP($D1255,Sheet1!$M$5:$T$192,8,TRUE))&lt;10^-10,"SoCA",D1255-VLOOKUP($D1255,Sheet1!$M$5:$T$192,8,TRUE))</f>
        <v>-2.8230257455795993E-2</v>
      </c>
      <c r="U1255" s="109" t="str">
        <f>IF(VLOOKUP($D1255,Sheet1!$M$5:$U$192,9,TRUE)=0,"",IF(ABS(D1255-VLOOKUP($D1255,Sheet1!$M$5:$U$192,9,TRUE))&lt;10^-10,"Alt.",D1255-VLOOKUP($D1255,Sheet1!$M$5:$U$192,9,TRUE)))</f>
        <v/>
      </c>
      <c r="V1255" s="132">
        <f>$D1255-Sheet1!$M$3*$R1255</f>
        <v>-3.5240097532238224E-2</v>
      </c>
      <c r="Z1255" s="6"/>
      <c r="AA1255" s="61"/>
    </row>
    <row r="1256" spans="1:27" ht="13.5">
      <c r="A1256" t="s">
        <v>1261</v>
      </c>
      <c r="B1256">
        <v>2943</v>
      </c>
      <c r="C1256">
        <v>3008</v>
      </c>
      <c r="D1256" s="13">
        <f t="shared" si="26"/>
        <v>37.820429684690794</v>
      </c>
      <c r="E1256" s="61" t="s">
        <v>1931</v>
      </c>
      <c r="F1256" s="65">
        <v>156.67385952303144</v>
      </c>
      <c r="G1256" s="6">
        <v>1166</v>
      </c>
      <c r="H1256" s="6">
        <v>1110</v>
      </c>
      <c r="I1256" s="65">
        <v>-5.3287416430134975</v>
      </c>
      <c r="J1256" s="6">
        <f>VLOOKUP($D1256,Sheet1!$A$5:$C$192,3,TRUE)</f>
        <v>7</v>
      </c>
      <c r="K1256" s="42" t="str">
        <f>VLOOKUP($D1256,Sheet1!$A$5:$C$192,2,TRUE)</f>
        <v>(|(</v>
      </c>
      <c r="L1256" s="6">
        <f>FLOOR(VLOOKUP($D1256,Sheet1!$D$5:$F$192,3,TRUE),1)</f>
        <v>16</v>
      </c>
      <c r="M1256" s="42" t="str">
        <f>VLOOKUP($D1256,Sheet1!$D$5:$F$192,2,TRUE)</f>
        <v>/|~</v>
      </c>
      <c r="N1256" s="23">
        <f>FLOOR(VLOOKUP($D1256,Sheet1!$G$5:$I$192,3,TRUE),1)</f>
        <v>19</v>
      </c>
      <c r="O1256" s="42" t="str">
        <f>VLOOKUP($D1256,Sheet1!$G$5:$I$192,2,TRUE)</f>
        <v>/|~</v>
      </c>
      <c r="P1256" s="23">
        <v>1</v>
      </c>
      <c r="Q1256" s="43" t="str">
        <f>VLOOKUP($D1256,Sheet1!$J$5:$L$192,2,TRUE)</f>
        <v>/|~</v>
      </c>
      <c r="R1256" s="23">
        <f>FLOOR(VLOOKUP($D1256,Sheet1!$M$5:$O$192,3,TRUE),1)</f>
        <v>78</v>
      </c>
      <c r="S1256" s="42" t="str">
        <f>VLOOKUP($D1256,Sheet1!$M$5:$O$192,2,TRUE)</f>
        <v>/|~</v>
      </c>
      <c r="T1256" s="117">
        <f>IF(ABS(D1256-VLOOKUP($D1256,Sheet1!$M$5:$T$192,8,TRUE))&lt;10^-10,"SoCA",D1256-VLOOKUP($D1256,Sheet1!$M$5:$T$192,8,TRUE))</f>
        <v>-0.23020198811487091</v>
      </c>
      <c r="U1256" s="109" t="str">
        <f>IF(VLOOKUP($D1256,Sheet1!$M$5:$U$192,9,TRUE)=0,"",IF(ABS(D1256-VLOOKUP($D1256,Sheet1!$M$5:$U$192,9,TRUE))&lt;10^-10,"Alt.",D1256-VLOOKUP($D1256,Sheet1!$M$5:$U$192,9,TRUE)))</f>
        <v/>
      </c>
      <c r="V1256" s="132">
        <f>$D1256-Sheet1!$M$3*$R1256</f>
        <v>-0.23721182819131315</v>
      </c>
      <c r="Z1256" s="6"/>
      <c r="AA1256" s="61"/>
    </row>
    <row r="1257" spans="1:27" ht="13.5">
      <c r="A1257" t="s">
        <v>1759</v>
      </c>
      <c r="B1257">
        <v>32805</v>
      </c>
      <c r="C1257">
        <v>33536</v>
      </c>
      <c r="D1257" s="13">
        <f t="shared" si="26"/>
        <v>38.153881057006153</v>
      </c>
      <c r="E1257" s="61" t="s">
        <v>1931</v>
      </c>
      <c r="F1257" s="65">
        <v>157.23791007352037</v>
      </c>
      <c r="G1257" s="6">
        <v>1668</v>
      </c>
      <c r="H1257" s="6">
        <v>1608</v>
      </c>
      <c r="I1257" s="65">
        <v>-10.349273458836445</v>
      </c>
      <c r="J1257" s="6">
        <f>VLOOKUP($D1257,Sheet1!$A$5:$C$192,3,TRUE)</f>
        <v>7</v>
      </c>
      <c r="K1257" s="42" t="str">
        <f>VLOOKUP($D1257,Sheet1!$A$5:$C$192,2,TRUE)</f>
        <v>(|(</v>
      </c>
      <c r="L1257" s="6">
        <f>FLOOR(VLOOKUP($D1257,Sheet1!$D$5:$F$192,3,TRUE),1)</f>
        <v>16</v>
      </c>
      <c r="M1257" s="42" t="str">
        <f>VLOOKUP($D1257,Sheet1!$D$5:$F$192,2,TRUE)</f>
        <v>(|(</v>
      </c>
      <c r="N1257" s="23">
        <f>FLOOR(VLOOKUP($D1257,Sheet1!$G$5:$I$192,3,TRUE),1)</f>
        <v>20</v>
      </c>
      <c r="O1257" s="42" t="str">
        <f>VLOOKUP($D1257,Sheet1!$G$5:$I$192,2,TRUE)</f>
        <v>(|(</v>
      </c>
      <c r="P1257" s="23">
        <v>1</v>
      </c>
      <c r="Q1257" s="43" t="str">
        <f>VLOOKUP($D1257,Sheet1!$J$5:$L$192,2,TRUE)</f>
        <v>(|(..</v>
      </c>
      <c r="R1257" s="23">
        <f>FLOOR(VLOOKUP($D1257,Sheet1!$M$5:$O$192,3,TRUE),1)</f>
        <v>78</v>
      </c>
      <c r="S1257" s="42" t="str">
        <f>VLOOKUP($D1257,Sheet1!$M$5:$O$192,2,TRUE)</f>
        <v>(|(..</v>
      </c>
      <c r="T1257" s="117">
        <f>IF(ABS(D1257-VLOOKUP($D1257,Sheet1!$M$5:$T$192,8,TRUE))&lt;10^-10,"SoCA",D1257-VLOOKUP($D1257,Sheet1!$M$5:$T$192,8,TRUE))</f>
        <v>8.0632030254832898E-2</v>
      </c>
      <c r="U1257" s="109">
        <f>IF(VLOOKUP($D1257,Sheet1!$M$5:$U$192,9,TRUE)=0,"",IF(ABS(D1257-VLOOKUP($D1257,Sheet1!$M$5:$U$192,9,TRUE))&lt;10^-10,"Alt.",D1257-VLOOKUP($D1257,Sheet1!$M$5:$U$192,9,TRUE)))</f>
        <v>6.6579862860379535E-2</v>
      </c>
      <c r="V1257" s="132">
        <f>$D1257-Sheet1!$M$3*$R1257</f>
        <v>9.6239544124046006E-2</v>
      </c>
      <c r="Z1257" s="6"/>
      <c r="AA1257" s="61"/>
    </row>
    <row r="1258" spans="1:27" ht="13.5">
      <c r="A1258" t="s">
        <v>1263</v>
      </c>
      <c r="B1258">
        <v>3537</v>
      </c>
      <c r="C1258">
        <v>3616</v>
      </c>
      <c r="D1258" s="13">
        <f t="shared" si="26"/>
        <v>38.242150457122719</v>
      </c>
      <c r="E1258" s="61" t="s">
        <v>1931</v>
      </c>
      <c r="F1258" s="65">
        <v>244.74388960236169</v>
      </c>
      <c r="G1258" s="6">
        <v>1168</v>
      </c>
      <c r="H1258" s="6">
        <v>1112</v>
      </c>
      <c r="I1258" s="65">
        <v>-5.3547085273845543</v>
      </c>
      <c r="J1258" s="6">
        <f>VLOOKUP($D1258,Sheet1!$A$5:$C$192,3,TRUE)</f>
        <v>7</v>
      </c>
      <c r="K1258" s="42" t="str">
        <f>VLOOKUP($D1258,Sheet1!$A$5:$C$192,2,TRUE)</f>
        <v>(|(</v>
      </c>
      <c r="L1258" s="6">
        <f>FLOOR(VLOOKUP($D1258,Sheet1!$D$5:$F$192,3,TRUE),1)</f>
        <v>16</v>
      </c>
      <c r="M1258" s="42" t="str">
        <f>VLOOKUP($D1258,Sheet1!$D$5:$F$192,2,TRUE)</f>
        <v>(|(</v>
      </c>
      <c r="N1258" s="23">
        <f>FLOOR(VLOOKUP($D1258,Sheet1!$G$5:$I$192,3,TRUE),1)</f>
        <v>20</v>
      </c>
      <c r="O1258" s="42" t="str">
        <f>VLOOKUP($D1258,Sheet1!$G$5:$I$192,2,TRUE)</f>
        <v>(|(</v>
      </c>
      <c r="P1258" s="23">
        <v>1</v>
      </c>
      <c r="Q1258" s="43" t="str">
        <f>VLOOKUP($D1258,Sheet1!$J$5:$L$192,2,TRUE)</f>
        <v>(|(..</v>
      </c>
      <c r="R1258" s="23">
        <f>FLOOR(VLOOKUP($D1258,Sheet1!$M$5:$O$192,3,TRUE),1)</f>
        <v>78</v>
      </c>
      <c r="S1258" s="42" t="str">
        <f>VLOOKUP($D1258,Sheet1!$M$5:$O$192,2,TRUE)</f>
        <v>(|(..</v>
      </c>
      <c r="T1258" s="117">
        <f>IF(ABS(D1258-VLOOKUP($D1258,Sheet1!$M$5:$T$192,8,TRUE))&lt;10^-10,"SoCA",D1258-VLOOKUP($D1258,Sheet1!$M$5:$T$192,8,TRUE))</f>
        <v>0.16890143037139893</v>
      </c>
      <c r="U1258" s="109">
        <f>IF(VLOOKUP($D1258,Sheet1!$M$5:$U$192,9,TRUE)=0,"",IF(ABS(D1258-VLOOKUP($D1258,Sheet1!$M$5:$U$192,9,TRUE))&lt;10^-10,"Alt.",D1258-VLOOKUP($D1258,Sheet1!$M$5:$U$192,9,TRUE)))</f>
        <v>0.15484926297694557</v>
      </c>
      <c r="V1258" s="132">
        <f>$D1258-Sheet1!$M$3*$R1258</f>
        <v>0.18450894424061204</v>
      </c>
      <c r="Z1258" s="6"/>
      <c r="AA1258" s="61"/>
    </row>
    <row r="1259" spans="1:27" ht="13.5">
      <c r="A1259" t="s">
        <v>1160</v>
      </c>
      <c r="B1259">
        <v>9783</v>
      </c>
      <c r="C1259">
        <v>10000</v>
      </c>
      <c r="D1259" s="13">
        <f t="shared" si="26"/>
        <v>37.98138369579361</v>
      </c>
      <c r="E1259" s="61" t="s">
        <v>1931</v>
      </c>
      <c r="F1259" s="65">
        <v>1771.6692982300283</v>
      </c>
      <c r="G1259" s="6">
        <v>1062</v>
      </c>
      <c r="H1259" s="6">
        <v>1009</v>
      </c>
      <c r="I1259" s="65">
        <v>-4.3386521678644865</v>
      </c>
      <c r="J1259" s="6">
        <f>VLOOKUP($D1259,Sheet1!$A$5:$C$192,3,TRUE)</f>
        <v>7</v>
      </c>
      <c r="K1259" s="42" t="str">
        <f>VLOOKUP($D1259,Sheet1!$A$5:$C$192,2,TRUE)</f>
        <v>(|(</v>
      </c>
      <c r="L1259" s="6">
        <f>FLOOR(VLOOKUP($D1259,Sheet1!$D$5:$F$192,3,TRUE),1)</f>
        <v>16</v>
      </c>
      <c r="M1259" s="42" t="str">
        <f>VLOOKUP($D1259,Sheet1!$D$5:$F$192,2,TRUE)</f>
        <v>/|~</v>
      </c>
      <c r="N1259" s="23">
        <f>FLOOR(VLOOKUP($D1259,Sheet1!$G$5:$I$192,3,TRUE),1)</f>
        <v>19</v>
      </c>
      <c r="O1259" s="42" t="str">
        <f>VLOOKUP($D1259,Sheet1!$G$5:$I$192,2,TRUE)</f>
        <v>/|~</v>
      </c>
      <c r="P1259" s="23">
        <v>1</v>
      </c>
      <c r="Q1259" s="43" t="str">
        <f>VLOOKUP($D1259,Sheet1!$J$5:$L$192,2,TRUE)</f>
        <v>/|~</v>
      </c>
      <c r="R1259" s="23">
        <f>FLOOR(VLOOKUP($D1259,Sheet1!$M$5:$O$192,3,TRUE),1)</f>
        <v>78</v>
      </c>
      <c r="S1259" s="42" t="str">
        <f>VLOOKUP($D1259,Sheet1!$M$5:$O$192,2,TRUE)</f>
        <v>/|~</v>
      </c>
      <c r="T1259" s="117">
        <f>IF(ABS(D1259-VLOOKUP($D1259,Sheet1!$M$5:$T$192,8,TRUE))&lt;10^-10,"SoCA",D1259-VLOOKUP($D1259,Sheet1!$M$5:$T$192,8,TRUE))</f>
        <v>-6.9247977012054207E-2</v>
      </c>
      <c r="U1259" s="109" t="str">
        <f>IF(VLOOKUP($D1259,Sheet1!$M$5:$U$192,9,TRUE)=0,"",IF(ABS(D1259-VLOOKUP($D1259,Sheet1!$M$5:$U$192,9,TRUE))&lt;10^-10,"Alt.",D1259-VLOOKUP($D1259,Sheet1!$M$5:$U$192,9,TRUE)))</f>
        <v/>
      </c>
      <c r="V1259" s="132">
        <f>$D1259-Sheet1!$M$3*$R1259</f>
        <v>-7.6257817088496438E-2</v>
      </c>
      <c r="Z1259" s="6"/>
      <c r="AA1259" s="61"/>
    </row>
    <row r="1260" spans="1:27" ht="13.5">
      <c r="A1260" t="s">
        <v>1291</v>
      </c>
      <c r="B1260">
        <v>107374182400</v>
      </c>
      <c r="C1260">
        <v>109751299191</v>
      </c>
      <c r="D1260" s="13">
        <f t="shared" si="26"/>
        <v>37.909046258303853</v>
      </c>
      <c r="E1260" s="61" t="s">
        <v>1931</v>
      </c>
      <c r="F1260" s="65">
        <v>727341.4365364461</v>
      </c>
      <c r="G1260" s="6">
        <v>1198</v>
      </c>
      <c r="H1260" s="6">
        <v>1140</v>
      </c>
      <c r="I1260" s="65">
        <v>5.6658019117013918</v>
      </c>
      <c r="J1260" s="6">
        <f>VLOOKUP($D1260,Sheet1!$A$5:$C$192,3,TRUE)</f>
        <v>7</v>
      </c>
      <c r="K1260" s="42" t="str">
        <f>VLOOKUP($D1260,Sheet1!$A$5:$C$192,2,TRUE)</f>
        <v>(|(</v>
      </c>
      <c r="L1260" s="6">
        <f>FLOOR(VLOOKUP($D1260,Sheet1!$D$5:$F$192,3,TRUE),1)</f>
        <v>16</v>
      </c>
      <c r="M1260" s="42" t="str">
        <f>VLOOKUP($D1260,Sheet1!$D$5:$F$192,2,TRUE)</f>
        <v>/|~</v>
      </c>
      <c r="N1260" s="23">
        <f>FLOOR(VLOOKUP($D1260,Sheet1!$G$5:$I$192,3,TRUE),1)</f>
        <v>19</v>
      </c>
      <c r="O1260" s="42" t="str">
        <f>VLOOKUP($D1260,Sheet1!$G$5:$I$192,2,TRUE)</f>
        <v>/|~</v>
      </c>
      <c r="P1260" s="23">
        <v>1</v>
      </c>
      <c r="Q1260" s="43" t="str">
        <f>VLOOKUP($D1260,Sheet1!$J$5:$L$192,2,TRUE)</f>
        <v>/|~</v>
      </c>
      <c r="R1260" s="23">
        <f>FLOOR(VLOOKUP($D1260,Sheet1!$M$5:$O$192,3,TRUE),1)</f>
        <v>78</v>
      </c>
      <c r="S1260" s="42" t="str">
        <f>VLOOKUP($D1260,Sheet1!$M$5:$O$192,2,TRUE)</f>
        <v>/|~</v>
      </c>
      <c r="T1260" s="117">
        <f>IF(ABS(D1260-VLOOKUP($D1260,Sheet1!$M$5:$T$192,8,TRUE))&lt;10^-10,"SoCA",D1260-VLOOKUP($D1260,Sheet1!$M$5:$T$192,8,TRUE))</f>
        <v>-0.14158541450181161</v>
      </c>
      <c r="U1260" s="109" t="str">
        <f>IF(VLOOKUP($D1260,Sheet1!$M$5:$U$192,9,TRUE)=0,"",IF(ABS(D1260-VLOOKUP($D1260,Sheet1!$M$5:$U$192,9,TRUE))&lt;10^-10,"Alt.",D1260-VLOOKUP($D1260,Sheet1!$M$5:$U$192,9,TRUE)))</f>
        <v/>
      </c>
      <c r="V1260" s="132">
        <f>$D1260-Sheet1!$M$3*$R1260</f>
        <v>-0.14859525457825384</v>
      </c>
      <c r="Z1260" s="6"/>
      <c r="AA1260" s="61"/>
    </row>
    <row r="1261" spans="1:27" ht="13.5">
      <c r="A1261" s="38" t="s">
        <v>153</v>
      </c>
      <c r="B1261" s="87">
        <f>3^4*17</f>
        <v>1377</v>
      </c>
      <c r="C1261" s="91">
        <f>2^7*11</f>
        <v>1408</v>
      </c>
      <c r="D1261" s="13">
        <f t="shared" si="26"/>
        <v>38.542529402799694</v>
      </c>
      <c r="E1261" s="61">
        <v>17</v>
      </c>
      <c r="F1261" s="65">
        <v>28.929070947436514</v>
      </c>
      <c r="G1261" s="6">
        <v>85</v>
      </c>
      <c r="H1261" s="6">
        <v>84</v>
      </c>
      <c r="I1261" s="65">
        <v>-6.3732039534099663</v>
      </c>
      <c r="J1261" s="6">
        <f>VLOOKUP($D1261,Sheet1!$A$5:$C$192,3,TRUE)</f>
        <v>7</v>
      </c>
      <c r="K1261" s="42" t="str">
        <f>VLOOKUP($D1261,Sheet1!$A$5:$C$192,2,TRUE)</f>
        <v>(|(</v>
      </c>
      <c r="L1261" s="6">
        <f>FLOOR(VLOOKUP($D1261,Sheet1!$D$5:$F$192,3,TRUE),1)</f>
        <v>16</v>
      </c>
      <c r="M1261" s="42" t="str">
        <f>VLOOKUP($D1261,Sheet1!$D$5:$F$192,2,TRUE)</f>
        <v>(|(</v>
      </c>
      <c r="N1261" s="23">
        <f>FLOOR(VLOOKUP($D1261,Sheet1!$G$5:$I$192,3,TRUE),1)</f>
        <v>20</v>
      </c>
      <c r="O1261" s="42" t="str">
        <f>VLOOKUP($D1261,Sheet1!$G$5:$I$192,2,TRUE)</f>
        <v>(|(</v>
      </c>
      <c r="P1261" s="23">
        <v>1</v>
      </c>
      <c r="Q1261" s="45" t="str">
        <f>VLOOKUP($D1261,Sheet1!$J$5:$L$192,2,TRUE)</f>
        <v>(|(.</v>
      </c>
      <c r="R1261" s="38">
        <f>FLOOR(VLOOKUP($D1261,Sheet1!$M$5:$O$192,3,TRUE),1)</f>
        <v>79</v>
      </c>
      <c r="S1261" s="45" t="str">
        <f>VLOOKUP($D1261,Sheet1!$M$5:$O$192,2,TRUE)</f>
        <v>(|(.</v>
      </c>
      <c r="T1261" s="108">
        <f>IF(ABS(D1261-VLOOKUP($D1261,Sheet1!$M$5:$T$192,8,TRUE))&lt;10^-10,"SoCA",D1261-VLOOKUP($D1261,Sheet1!$M$5:$T$192,8,TRUE))</f>
        <v>5.9472337901603112E-2</v>
      </c>
      <c r="U1261" s="108">
        <f>IF(VLOOKUP($D1261,Sheet1!$M$5:$U$192,9,TRUE)=0,"",IF(ABS(D1261-VLOOKUP($D1261,Sheet1!$M$5:$U$192,9,TRUE))&lt;10^-10,"Alt.",D1261-VLOOKUP($D1261,Sheet1!$M$5:$U$192,9,TRUE)))</f>
        <v>9.6141859241640759E-2</v>
      </c>
      <c r="V1261" s="133">
        <f>$D1261-Sheet1!$M$3*$R1261</f>
        <v>-3.0305910167953698E-3</v>
      </c>
      <c r="Z1261" s="6"/>
      <c r="AA1261" s="61"/>
    </row>
    <row r="1262" spans="1:27" ht="13.5">
      <c r="A1262" s="6" t="s">
        <v>411</v>
      </c>
      <c r="B1262" s="6">
        <f>2^17*7</f>
        <v>917504</v>
      </c>
      <c r="C1262" s="6">
        <f>3^8*11*13</f>
        <v>938223</v>
      </c>
      <c r="D1262" s="13">
        <f t="shared" si="26"/>
        <v>38.659704588041549</v>
      </c>
      <c r="E1262" s="61">
        <v>13</v>
      </c>
      <c r="F1262" s="65">
        <v>40.147238411963507</v>
      </c>
      <c r="G1262" s="6">
        <v>253</v>
      </c>
      <c r="H1262" s="6">
        <v>248</v>
      </c>
      <c r="I1262" s="65">
        <v>5.619581143542252</v>
      </c>
      <c r="J1262" s="6">
        <f>VLOOKUP($D1262,Sheet1!$A$5:$C$192,3,TRUE)</f>
        <v>7</v>
      </c>
      <c r="K1262" s="42" t="str">
        <f>VLOOKUP($D1262,Sheet1!$A$5:$C$192,2,TRUE)</f>
        <v>(|(</v>
      </c>
      <c r="L1262" s="6">
        <f>FLOOR(VLOOKUP($D1262,Sheet1!$D$5:$F$192,3,TRUE),1)</f>
        <v>16</v>
      </c>
      <c r="M1262" s="42" t="str">
        <f>VLOOKUP($D1262,Sheet1!$D$5:$F$192,2,TRUE)</f>
        <v>(|(</v>
      </c>
      <c r="N1262" s="23">
        <f>FLOOR(VLOOKUP($D1262,Sheet1!$G$5:$I$192,3,TRUE),1)</f>
        <v>20</v>
      </c>
      <c r="O1262" s="42" t="str">
        <f>VLOOKUP($D1262,Sheet1!$G$5:$I$192,2,TRUE)</f>
        <v>(|(</v>
      </c>
      <c r="P1262" s="23">
        <v>1</v>
      </c>
      <c r="Q1262" s="43" t="str">
        <f>VLOOKUP($D1262,Sheet1!$J$5:$L$192,2,TRUE)</f>
        <v>(|(.</v>
      </c>
      <c r="R1262" s="23">
        <f>FLOOR(VLOOKUP($D1262,Sheet1!$M$5:$O$192,3,TRUE),1)</f>
        <v>79</v>
      </c>
      <c r="S1262" s="42" t="str">
        <f>VLOOKUP($D1262,Sheet1!$M$5:$O$192,2,TRUE)</f>
        <v>(|(.</v>
      </c>
      <c r="T1262" s="117">
        <f>IF(ABS(D1262-VLOOKUP($D1262,Sheet1!$M$5:$T$192,8,TRUE))&lt;10^-10,"SoCA",D1262-VLOOKUP($D1262,Sheet1!$M$5:$T$192,8,TRUE))</f>
        <v>0.17664752314345833</v>
      </c>
      <c r="U1262" s="109">
        <f>IF(VLOOKUP($D1262,Sheet1!$M$5:$U$192,9,TRUE)=0,"",IF(ABS(D1262-VLOOKUP($D1262,Sheet1!$M$5:$U$192,9,TRUE))&lt;10^-10,"Alt.",D1262-VLOOKUP($D1262,Sheet1!$M$5:$U$192,9,TRUE)))</f>
        <v>0.21331704448349598</v>
      </c>
      <c r="V1262" s="132">
        <f>$D1262-Sheet1!$M$3*$R1262</f>
        <v>0.11414459422505985</v>
      </c>
      <c r="Z1262" s="6"/>
      <c r="AA1262" s="61"/>
    </row>
    <row r="1263" spans="1:27" ht="13.5">
      <c r="A1263" s="6" t="s">
        <v>786</v>
      </c>
      <c r="B1263" s="6">
        <f>5*13^2</f>
        <v>845</v>
      </c>
      <c r="C1263" s="6">
        <f>2^5*3^3</f>
        <v>864</v>
      </c>
      <c r="D1263" s="13">
        <f t="shared" si="26"/>
        <v>38.495965192706144</v>
      </c>
      <c r="E1263" s="61">
        <v>13</v>
      </c>
      <c r="F1263" s="65">
        <v>49.692205260390807</v>
      </c>
      <c r="G1263" s="6">
        <v>735</v>
      </c>
      <c r="H1263" s="6">
        <v>632</v>
      </c>
      <c r="I1263" s="65">
        <v>0.62966317464814736</v>
      </c>
      <c r="J1263" s="6">
        <f>VLOOKUP($D1263,Sheet1!$A$5:$C$192,3,TRUE)</f>
        <v>7</v>
      </c>
      <c r="K1263" s="42" t="str">
        <f>VLOOKUP($D1263,Sheet1!$A$5:$C$192,2,TRUE)</f>
        <v>(|(</v>
      </c>
      <c r="L1263" s="6">
        <f>FLOOR(VLOOKUP($D1263,Sheet1!$D$5:$F$192,3,TRUE),1)</f>
        <v>16</v>
      </c>
      <c r="M1263" s="42" t="str">
        <f>VLOOKUP($D1263,Sheet1!$D$5:$F$192,2,TRUE)</f>
        <v>(|(</v>
      </c>
      <c r="N1263" s="23">
        <f>FLOOR(VLOOKUP($D1263,Sheet1!$G$5:$I$192,3,TRUE),1)</f>
        <v>20</v>
      </c>
      <c r="O1263" s="42" t="str">
        <f>VLOOKUP($D1263,Sheet1!$G$5:$I$192,2,TRUE)</f>
        <v>(|(</v>
      </c>
      <c r="P1263" s="23">
        <v>1</v>
      </c>
      <c r="Q1263" s="43" t="str">
        <f>VLOOKUP($D1263,Sheet1!$J$5:$L$192,2,TRUE)</f>
        <v>(|(.</v>
      </c>
      <c r="R1263" s="23">
        <f>FLOOR(VLOOKUP($D1263,Sheet1!$M$5:$O$192,3,TRUE),1)</f>
        <v>79</v>
      </c>
      <c r="S1263" s="42" t="str">
        <f>VLOOKUP($D1263,Sheet1!$M$5:$O$192,2,TRUE)</f>
        <v>(|(.</v>
      </c>
      <c r="T1263" s="117">
        <f>IF(ABS(D1263-VLOOKUP($D1263,Sheet1!$M$5:$T$192,8,TRUE))&lt;10^-10,"SoCA",D1263-VLOOKUP($D1263,Sheet1!$M$5:$T$192,8,TRUE))</f>
        <v>1.2908127808053393E-2</v>
      </c>
      <c r="U1263" s="109">
        <f>IF(VLOOKUP($D1263,Sheet1!$M$5:$U$192,9,TRUE)=0,"",IF(ABS(D1263-VLOOKUP($D1263,Sheet1!$M$5:$U$192,9,TRUE))&lt;10^-10,"Alt.",D1263-VLOOKUP($D1263,Sheet1!$M$5:$U$192,9,TRUE)))</f>
        <v>4.9577649148091041E-2</v>
      </c>
      <c r="V1263" s="132">
        <f>$D1263-Sheet1!$M$3*$R1263</f>
        <v>-4.9594801110345088E-2</v>
      </c>
      <c r="Z1263" s="6"/>
      <c r="AA1263" s="61"/>
    </row>
    <row r="1264" spans="1:27" ht="13.5">
      <c r="A1264" s="23" t="s">
        <v>469</v>
      </c>
      <c r="B1264" s="23">
        <f>2^11*47</f>
        <v>96256</v>
      </c>
      <c r="C1264" s="23">
        <f>3^9*5</f>
        <v>98415</v>
      </c>
      <c r="D1264" s="13">
        <f t="shared" si="26"/>
        <v>38.402099640156578</v>
      </c>
      <c r="E1264" s="61">
        <v>47</v>
      </c>
      <c r="F1264" s="65">
        <v>58.736680188057434</v>
      </c>
      <c r="G1264" s="6">
        <v>307</v>
      </c>
      <c r="H1264" s="6">
        <v>307</v>
      </c>
      <c r="I1264" s="65">
        <v>6.6354428186894507</v>
      </c>
      <c r="J1264" s="6">
        <f>VLOOKUP($D1264,Sheet1!$A$5:$C$192,3,TRUE)</f>
        <v>7</v>
      </c>
      <c r="K1264" s="42" t="str">
        <f>VLOOKUP($D1264,Sheet1!$A$5:$C$192,2,TRUE)</f>
        <v>(|(</v>
      </c>
      <c r="L1264" s="6">
        <f>FLOOR(VLOOKUP($D1264,Sheet1!$D$5:$F$192,3,TRUE),1)</f>
        <v>16</v>
      </c>
      <c r="M1264" s="42" t="str">
        <f>VLOOKUP($D1264,Sheet1!$D$5:$F$192,2,TRUE)</f>
        <v>(|(</v>
      </c>
      <c r="N1264" s="23">
        <f>FLOOR(VLOOKUP($D1264,Sheet1!$G$5:$I$192,3,TRUE),1)</f>
        <v>20</v>
      </c>
      <c r="O1264" s="42" t="str">
        <f>VLOOKUP($D1264,Sheet1!$G$5:$I$192,2,TRUE)</f>
        <v>(|(</v>
      </c>
      <c r="P1264" s="23">
        <v>1</v>
      </c>
      <c r="Q1264" s="43" t="str">
        <f>VLOOKUP($D1264,Sheet1!$J$5:$L$192,2,TRUE)</f>
        <v>(|(.</v>
      </c>
      <c r="R1264" s="23">
        <f>FLOOR(VLOOKUP($D1264,Sheet1!$M$5:$O$192,3,TRUE),1)</f>
        <v>79</v>
      </c>
      <c r="S1264" s="43" t="str">
        <f>VLOOKUP($D1264,Sheet1!$M$5:$O$192,2,TRUE)</f>
        <v>(|(.</v>
      </c>
      <c r="T1264" s="117">
        <f>IF(ABS(D1264-VLOOKUP($D1264,Sheet1!$M$5:$T$192,8,TRUE))&lt;10^-10,"SoCA",D1264-VLOOKUP($D1264,Sheet1!$M$5:$T$192,8,TRUE))</f>
        <v>-8.0957424741512796E-2</v>
      </c>
      <c r="U1264" s="117">
        <f>IF(VLOOKUP($D1264,Sheet1!$M$5:$U$192,9,TRUE)=0,"",IF(ABS(D1264-VLOOKUP($D1264,Sheet1!$M$5:$U$192,9,TRUE))&lt;10^-10,"Alt.",D1264-VLOOKUP($D1264,Sheet1!$M$5:$U$192,9,TRUE)))</f>
        <v>-4.4287903401475148E-2</v>
      </c>
      <c r="V1264" s="132">
        <f>$D1264-Sheet1!$M$3*$R1264</f>
        <v>-0.14346035365991128</v>
      </c>
      <c r="Z1264" s="6"/>
      <c r="AA1264" s="61"/>
    </row>
    <row r="1265" spans="1:27" ht="13.5">
      <c r="A1265" s="6" t="s">
        <v>1534</v>
      </c>
      <c r="B1265" s="18">
        <f>3^7*5^2*7^4</f>
        <v>131274675</v>
      </c>
      <c r="C1265" s="18">
        <f>2^27</f>
        <v>134217728</v>
      </c>
      <c r="D1265" s="13">
        <f t="shared" si="26"/>
        <v>38.383940336118691</v>
      </c>
      <c r="E1265" s="61">
        <v>7</v>
      </c>
      <c r="F1265" s="65">
        <v>91.615652810383509</v>
      </c>
      <c r="G1265" s="6">
        <v>1310</v>
      </c>
      <c r="H1265" s="6">
        <v>1383</v>
      </c>
      <c r="I1265" s="65">
        <v>-9.3634390468029896</v>
      </c>
      <c r="J1265" s="6">
        <f>VLOOKUP($D1265,Sheet1!$A$5:$C$192,3,TRUE)</f>
        <v>7</v>
      </c>
      <c r="K1265" s="42" t="str">
        <f>VLOOKUP($D1265,Sheet1!$A$5:$C$192,2,TRUE)</f>
        <v>(|(</v>
      </c>
      <c r="L1265" s="6">
        <f>FLOOR(VLOOKUP($D1265,Sheet1!$D$5:$F$192,3,TRUE),1)</f>
        <v>16</v>
      </c>
      <c r="M1265" s="42" t="str">
        <f>VLOOKUP($D1265,Sheet1!$D$5:$F$192,2,TRUE)</f>
        <v>(|(</v>
      </c>
      <c r="N1265" s="23">
        <f>FLOOR(VLOOKUP($D1265,Sheet1!$G$5:$I$192,3,TRUE),1)</f>
        <v>20</v>
      </c>
      <c r="O1265" s="42" t="str">
        <f>VLOOKUP($D1265,Sheet1!$G$5:$I$192,2,TRUE)</f>
        <v>(|(</v>
      </c>
      <c r="P1265" s="23">
        <v>1</v>
      </c>
      <c r="Q1265" s="43" t="str">
        <f>VLOOKUP($D1265,Sheet1!$J$5:$L$192,2,TRUE)</f>
        <v>(|(.</v>
      </c>
      <c r="R1265" s="23">
        <f>FLOOR(VLOOKUP($D1265,Sheet1!$M$5:$O$192,3,TRUE),1)</f>
        <v>79</v>
      </c>
      <c r="S1265" s="42" t="str">
        <f>VLOOKUP($D1265,Sheet1!$M$5:$O$192,2,TRUE)</f>
        <v>(|(.</v>
      </c>
      <c r="T1265" s="117">
        <f>IF(ABS(D1265-VLOOKUP($D1265,Sheet1!$M$5:$T$192,8,TRUE))&lt;10^-10,"SoCA",D1265-VLOOKUP($D1265,Sheet1!$M$5:$T$192,8,TRUE))</f>
        <v>-9.9116728779399921E-2</v>
      </c>
      <c r="U1265" s="109">
        <f>IF(VLOOKUP($D1265,Sheet1!$M$5:$U$192,9,TRUE)=0,"",IF(ABS(D1265-VLOOKUP($D1265,Sheet1!$M$5:$U$192,9,TRUE))&lt;10^-10,"Alt.",D1265-VLOOKUP($D1265,Sheet1!$M$5:$U$192,9,TRUE)))</f>
        <v>-6.2447207439362273E-2</v>
      </c>
      <c r="V1265" s="132">
        <f>$D1265-Sheet1!$M$3*$R1265</f>
        <v>-0.1616196576977984</v>
      </c>
      <c r="Z1265" s="6"/>
      <c r="AA1265" s="61"/>
    </row>
    <row r="1266" spans="1:27" ht="13.5">
      <c r="A1266" t="s">
        <v>1667</v>
      </c>
      <c r="B1266">
        <v>8203437</v>
      </c>
      <c r="C1266">
        <v>8388608</v>
      </c>
      <c r="D1266" s="13">
        <f t="shared" si="26"/>
        <v>38.643536748524312</v>
      </c>
      <c r="E1266" s="61">
        <v>31</v>
      </c>
      <c r="F1266" s="65">
        <v>93.588855998782236</v>
      </c>
      <c r="G1266" s="6">
        <v>1576</v>
      </c>
      <c r="H1266" s="6">
        <v>1516</v>
      </c>
      <c r="I1266" s="65">
        <v>-9.3794233436760255</v>
      </c>
      <c r="J1266" s="6">
        <f>VLOOKUP($D1266,Sheet1!$A$5:$C$192,3,TRUE)</f>
        <v>7</v>
      </c>
      <c r="K1266" s="42" t="str">
        <f>VLOOKUP($D1266,Sheet1!$A$5:$C$192,2,TRUE)</f>
        <v>(|(</v>
      </c>
      <c r="L1266" s="6">
        <f>FLOOR(VLOOKUP($D1266,Sheet1!$D$5:$F$192,3,TRUE),1)</f>
        <v>16</v>
      </c>
      <c r="M1266" s="42" t="str">
        <f>VLOOKUP($D1266,Sheet1!$D$5:$F$192,2,TRUE)</f>
        <v>(|(</v>
      </c>
      <c r="N1266" s="23">
        <f>FLOOR(VLOOKUP($D1266,Sheet1!$G$5:$I$192,3,TRUE),1)</f>
        <v>20</v>
      </c>
      <c r="O1266" s="42" t="str">
        <f>VLOOKUP($D1266,Sheet1!$G$5:$I$192,2,TRUE)</f>
        <v>(|(</v>
      </c>
      <c r="P1266" s="23">
        <v>1</v>
      </c>
      <c r="Q1266" s="43" t="str">
        <f>VLOOKUP($D1266,Sheet1!$J$5:$L$192,2,TRUE)</f>
        <v>(|(.</v>
      </c>
      <c r="R1266" s="23">
        <f>FLOOR(VLOOKUP($D1266,Sheet1!$M$5:$O$192,3,TRUE),1)</f>
        <v>79</v>
      </c>
      <c r="S1266" s="42" t="str">
        <f>VLOOKUP($D1266,Sheet1!$M$5:$O$192,2,TRUE)</f>
        <v>(|(.</v>
      </c>
      <c r="T1266" s="117">
        <f>IF(ABS(D1266-VLOOKUP($D1266,Sheet1!$M$5:$T$192,8,TRUE))&lt;10^-10,"SoCA",D1266-VLOOKUP($D1266,Sheet1!$M$5:$T$192,8,TRUE))</f>
        <v>0.160479683626221</v>
      </c>
      <c r="U1266" s="109">
        <f>IF(VLOOKUP($D1266,Sheet1!$M$5:$U$192,9,TRUE)=0,"",IF(ABS(D1266-VLOOKUP($D1266,Sheet1!$M$5:$U$192,9,TRUE))&lt;10^-10,"Alt.",D1266-VLOOKUP($D1266,Sheet1!$M$5:$U$192,9,TRUE)))</f>
        <v>0.19714920496625865</v>
      </c>
      <c r="V1266" s="132">
        <f>$D1266-Sheet1!$M$3*$R1266</f>
        <v>9.7976754707822522E-2</v>
      </c>
      <c r="Z1266" s="6"/>
      <c r="AA1266" s="61"/>
    </row>
    <row r="1267" spans="1:27" ht="13.5">
      <c r="A1267" t="s">
        <v>1097</v>
      </c>
      <c r="B1267">
        <v>56320</v>
      </c>
      <c r="C1267">
        <v>57591</v>
      </c>
      <c r="D1267" s="13">
        <f t="shared" si="26"/>
        <v>38.635246775256327</v>
      </c>
      <c r="E1267" s="61" t="s">
        <v>1931</v>
      </c>
      <c r="F1267" s="65">
        <v>114.96417870881957</v>
      </c>
      <c r="G1267" s="6">
        <v>1008</v>
      </c>
      <c r="H1267" s="6">
        <v>946</v>
      </c>
      <c r="I1267" s="65">
        <v>3.6210871001801008</v>
      </c>
      <c r="J1267" s="6">
        <f>VLOOKUP($D1267,Sheet1!$A$5:$C$192,3,TRUE)</f>
        <v>7</v>
      </c>
      <c r="K1267" s="42" t="str">
        <f>VLOOKUP($D1267,Sheet1!$A$5:$C$192,2,TRUE)</f>
        <v>(|(</v>
      </c>
      <c r="L1267" s="6">
        <f>FLOOR(VLOOKUP($D1267,Sheet1!$D$5:$F$192,3,TRUE),1)</f>
        <v>16</v>
      </c>
      <c r="M1267" s="42" t="str">
        <f>VLOOKUP($D1267,Sheet1!$D$5:$F$192,2,TRUE)</f>
        <v>(|(</v>
      </c>
      <c r="N1267" s="23">
        <f>FLOOR(VLOOKUP($D1267,Sheet1!$G$5:$I$192,3,TRUE),1)</f>
        <v>20</v>
      </c>
      <c r="O1267" s="42" t="str">
        <f>VLOOKUP($D1267,Sheet1!$G$5:$I$192,2,TRUE)</f>
        <v>(|(</v>
      </c>
      <c r="P1267" s="23">
        <v>1</v>
      </c>
      <c r="Q1267" s="43" t="str">
        <f>VLOOKUP($D1267,Sheet1!$J$5:$L$192,2,TRUE)</f>
        <v>(|(.</v>
      </c>
      <c r="R1267" s="23">
        <f>FLOOR(VLOOKUP($D1267,Sheet1!$M$5:$O$192,3,TRUE),1)</f>
        <v>79</v>
      </c>
      <c r="S1267" s="42" t="str">
        <f>VLOOKUP($D1267,Sheet1!$M$5:$O$192,2,TRUE)</f>
        <v>(|(.</v>
      </c>
      <c r="T1267" s="117">
        <f>IF(ABS(D1267-VLOOKUP($D1267,Sheet1!$M$5:$T$192,8,TRUE))&lt;10^-10,"SoCA",D1267-VLOOKUP($D1267,Sheet1!$M$5:$T$192,8,TRUE))</f>
        <v>0.15218971035823614</v>
      </c>
      <c r="U1267" s="109">
        <f>IF(VLOOKUP($D1267,Sheet1!$M$5:$U$192,9,TRUE)=0,"",IF(ABS(D1267-VLOOKUP($D1267,Sheet1!$M$5:$U$192,9,TRUE))&lt;10^-10,"Alt.",D1267-VLOOKUP($D1267,Sheet1!$M$5:$U$192,9,TRUE)))</f>
        <v>0.18885923169827379</v>
      </c>
      <c r="V1267" s="132">
        <f>$D1267-Sheet1!$M$3*$R1267</f>
        <v>8.9686781439837659E-2</v>
      </c>
      <c r="Z1267" s="6"/>
      <c r="AA1267" s="61"/>
    </row>
    <row r="1268" spans="1:27" ht="13.5">
      <c r="A1268" t="s">
        <v>1690</v>
      </c>
      <c r="B1268">
        <v>3638272</v>
      </c>
      <c r="C1268">
        <v>3720087</v>
      </c>
      <c r="D1268" s="13">
        <f t="shared" si="26"/>
        <v>38.499548856307335</v>
      </c>
      <c r="E1268" s="61">
        <v>19</v>
      </c>
      <c r="F1268" s="65">
        <v>129.94808600756161</v>
      </c>
      <c r="G1268" s="6">
        <v>1600</v>
      </c>
      <c r="H1268" s="6">
        <v>1539</v>
      </c>
      <c r="I1268" s="65">
        <v>9.6294425154242251</v>
      </c>
      <c r="J1268" s="6">
        <f>VLOOKUP($D1268,Sheet1!$A$5:$C$192,3,TRUE)</f>
        <v>7</v>
      </c>
      <c r="K1268" s="42" t="str">
        <f>VLOOKUP($D1268,Sheet1!$A$5:$C$192,2,TRUE)</f>
        <v>(|(</v>
      </c>
      <c r="L1268" s="6">
        <f>FLOOR(VLOOKUP($D1268,Sheet1!$D$5:$F$192,3,TRUE),1)</f>
        <v>16</v>
      </c>
      <c r="M1268" s="42" t="str">
        <f>VLOOKUP($D1268,Sheet1!$D$5:$F$192,2,TRUE)</f>
        <v>(|(</v>
      </c>
      <c r="N1268" s="23">
        <f>FLOOR(VLOOKUP($D1268,Sheet1!$G$5:$I$192,3,TRUE),1)</f>
        <v>20</v>
      </c>
      <c r="O1268" s="42" t="str">
        <f>VLOOKUP($D1268,Sheet1!$G$5:$I$192,2,TRUE)</f>
        <v>(|(</v>
      </c>
      <c r="P1268" s="23">
        <v>1</v>
      </c>
      <c r="Q1268" s="43" t="str">
        <f>VLOOKUP($D1268,Sheet1!$J$5:$L$192,2,TRUE)</f>
        <v>(|(.</v>
      </c>
      <c r="R1268" s="23">
        <f>FLOOR(VLOOKUP($D1268,Sheet1!$M$5:$O$192,3,TRUE),1)</f>
        <v>79</v>
      </c>
      <c r="S1268" s="42" t="str">
        <f>VLOOKUP($D1268,Sheet1!$M$5:$O$192,2,TRUE)</f>
        <v>(|(.</v>
      </c>
      <c r="T1268" s="117">
        <f>IF(ABS(D1268-VLOOKUP($D1268,Sheet1!$M$5:$T$192,8,TRUE))&lt;10^-10,"SoCA",D1268-VLOOKUP($D1268,Sheet1!$M$5:$T$192,8,TRUE))</f>
        <v>1.6491791409244172E-2</v>
      </c>
      <c r="U1268" s="109">
        <f>IF(VLOOKUP($D1268,Sheet1!$M$5:$U$192,9,TRUE)=0,"",IF(ABS(D1268-VLOOKUP($D1268,Sheet1!$M$5:$U$192,9,TRUE))&lt;10^-10,"Alt.",D1268-VLOOKUP($D1268,Sheet1!$M$5:$U$192,9,TRUE)))</f>
        <v>5.3161312749281819E-2</v>
      </c>
      <c r="V1268" s="132">
        <f>$D1268-Sheet1!$M$3*$R1268</f>
        <v>-4.601113750915431E-2</v>
      </c>
      <c r="Z1268" s="6"/>
      <c r="AA1268" s="61"/>
    </row>
    <row r="1269" spans="1:27" ht="13.5">
      <c r="A1269" t="s">
        <v>1335</v>
      </c>
      <c r="B1269">
        <v>57591</v>
      </c>
      <c r="C1269">
        <v>58880</v>
      </c>
      <c r="D1269" s="13">
        <f t="shared" si="26"/>
        <v>38.321158128402068</v>
      </c>
      <c r="E1269" s="61" t="s">
        <v>1931</v>
      </c>
      <c r="F1269" s="65">
        <v>133.48555006065104</v>
      </c>
      <c r="G1269" s="6">
        <v>1105</v>
      </c>
      <c r="H1269" s="6">
        <v>1184</v>
      </c>
      <c r="I1269" s="65">
        <v>-8.3595733175458413</v>
      </c>
      <c r="J1269" s="6">
        <f>VLOOKUP($D1269,Sheet1!$A$5:$C$192,3,TRUE)</f>
        <v>7</v>
      </c>
      <c r="K1269" s="42" t="str">
        <f>VLOOKUP($D1269,Sheet1!$A$5:$C$192,2,TRUE)</f>
        <v>(|(</v>
      </c>
      <c r="L1269" s="6">
        <f>FLOOR(VLOOKUP($D1269,Sheet1!$D$5:$F$192,3,TRUE),1)</f>
        <v>16</v>
      </c>
      <c r="M1269" s="42" t="str">
        <f>VLOOKUP($D1269,Sheet1!$D$5:$F$192,2,TRUE)</f>
        <v>(|(</v>
      </c>
      <c r="N1269" s="23">
        <f>FLOOR(VLOOKUP($D1269,Sheet1!$G$5:$I$192,3,TRUE),1)</f>
        <v>20</v>
      </c>
      <c r="O1269" s="42" t="str">
        <f>VLOOKUP($D1269,Sheet1!$G$5:$I$192,2,TRUE)</f>
        <v>(|(</v>
      </c>
      <c r="P1269" s="23">
        <v>1</v>
      </c>
      <c r="Q1269" s="43" t="str">
        <f>VLOOKUP($D1269,Sheet1!$J$5:$L$192,2,TRUE)</f>
        <v>(|(.</v>
      </c>
      <c r="R1269" s="23">
        <f>FLOOR(VLOOKUP($D1269,Sheet1!$M$5:$O$192,3,TRUE),1)</f>
        <v>79</v>
      </c>
      <c r="S1269" s="42" t="str">
        <f>VLOOKUP($D1269,Sheet1!$M$5:$O$192,2,TRUE)</f>
        <v>(|(.</v>
      </c>
      <c r="T1269" s="117">
        <f>IF(ABS(D1269-VLOOKUP($D1269,Sheet1!$M$5:$T$192,8,TRUE))&lt;10^-10,"SoCA",D1269-VLOOKUP($D1269,Sheet1!$M$5:$T$192,8,TRUE))</f>
        <v>-0.16189893649602283</v>
      </c>
      <c r="U1269" s="109">
        <f>IF(VLOOKUP($D1269,Sheet1!$M$5:$U$192,9,TRUE)=0,"",IF(ABS(D1269-VLOOKUP($D1269,Sheet1!$M$5:$U$192,9,TRUE))&lt;10^-10,"Alt.",D1269-VLOOKUP($D1269,Sheet1!$M$5:$U$192,9,TRUE)))</f>
        <v>-0.12522941515598518</v>
      </c>
      <c r="V1269" s="132">
        <f>$D1269-Sheet1!$M$3*$R1269</f>
        <v>-0.22440186541442131</v>
      </c>
      <c r="Z1269" s="6"/>
      <c r="AA1269" s="61"/>
    </row>
    <row r="1270" spans="1:27" ht="13.5">
      <c r="A1270" t="s">
        <v>1187</v>
      </c>
      <c r="B1270">
        <v>241664</v>
      </c>
      <c r="C1270">
        <v>247131</v>
      </c>
      <c r="D1270" s="13">
        <f t="shared" si="26"/>
        <v>38.728101721727576</v>
      </c>
      <c r="E1270" s="61" t="s">
        <v>1931</v>
      </c>
      <c r="F1270" s="65">
        <v>174.17328649345109</v>
      </c>
      <c r="G1270" s="6">
        <v>1092</v>
      </c>
      <c r="H1270" s="6">
        <v>1036</v>
      </c>
      <c r="I1270" s="65">
        <v>4.615369682836878</v>
      </c>
      <c r="J1270" s="6">
        <f>VLOOKUP($D1270,Sheet1!$A$5:$C$192,3,TRUE)</f>
        <v>7</v>
      </c>
      <c r="K1270" s="42" t="str">
        <f>VLOOKUP($D1270,Sheet1!$A$5:$C$192,2,TRUE)</f>
        <v>(|(</v>
      </c>
      <c r="L1270" s="6">
        <f>FLOOR(VLOOKUP($D1270,Sheet1!$D$5:$F$192,3,TRUE),1)</f>
        <v>16</v>
      </c>
      <c r="M1270" s="42" t="str">
        <f>VLOOKUP($D1270,Sheet1!$D$5:$F$192,2,TRUE)</f>
        <v>(|(</v>
      </c>
      <c r="N1270" s="23">
        <f>FLOOR(VLOOKUP($D1270,Sheet1!$G$5:$I$192,3,TRUE),1)</f>
        <v>20</v>
      </c>
      <c r="O1270" s="42" t="str">
        <f>VLOOKUP($D1270,Sheet1!$G$5:$I$192,2,TRUE)</f>
        <v>(|(</v>
      </c>
      <c r="P1270" s="23">
        <v>1</v>
      </c>
      <c r="Q1270" s="43" t="str">
        <f>VLOOKUP($D1270,Sheet1!$J$5:$L$192,2,TRUE)</f>
        <v>(|(.</v>
      </c>
      <c r="R1270" s="23">
        <f>FLOOR(VLOOKUP($D1270,Sheet1!$M$5:$O$192,3,TRUE),1)</f>
        <v>79</v>
      </c>
      <c r="S1270" s="42" t="str">
        <f>VLOOKUP($D1270,Sheet1!$M$5:$O$192,2,TRUE)</f>
        <v>(|(.</v>
      </c>
      <c r="T1270" s="117">
        <f>IF(ABS(D1270-VLOOKUP($D1270,Sheet1!$M$5:$T$192,8,TRUE))&lt;10^-10,"SoCA",D1270-VLOOKUP($D1270,Sheet1!$M$5:$T$192,8,TRUE))</f>
        <v>0.24504465682948506</v>
      </c>
      <c r="U1270" s="109">
        <f>IF(VLOOKUP($D1270,Sheet1!$M$5:$U$192,9,TRUE)=0,"",IF(ABS(D1270-VLOOKUP($D1270,Sheet1!$M$5:$U$192,9,TRUE))&lt;10^-10,"Alt.",D1270-VLOOKUP($D1270,Sheet1!$M$5:$U$192,9,TRUE)))</f>
        <v>0.28171417816952271</v>
      </c>
      <c r="V1270" s="132">
        <f>$D1270-Sheet1!$M$3*$R1270</f>
        <v>0.18254172791108658</v>
      </c>
      <c r="Z1270" s="6"/>
      <c r="AA1270" s="61"/>
    </row>
    <row r="1271" spans="1:27" ht="13.5">
      <c r="A1271" t="s">
        <v>1170</v>
      </c>
      <c r="B1271">
        <v>2871</v>
      </c>
      <c r="C1271">
        <v>2936</v>
      </c>
      <c r="D1271" s="13">
        <f t="shared" si="26"/>
        <v>38.758365163237087</v>
      </c>
      <c r="E1271" s="61" t="s">
        <v>1931</v>
      </c>
      <c r="F1271" s="65">
        <v>488.81386220788278</v>
      </c>
      <c r="G1271" s="6">
        <v>1073</v>
      </c>
      <c r="H1271" s="6">
        <v>1019</v>
      </c>
      <c r="I1271" s="65">
        <v>-4.3864937475125831</v>
      </c>
      <c r="J1271" s="6">
        <f>VLOOKUP($D1271,Sheet1!$A$5:$C$192,3,TRUE)</f>
        <v>7</v>
      </c>
      <c r="K1271" s="42" t="str">
        <f>VLOOKUP($D1271,Sheet1!$A$5:$C$192,2,TRUE)</f>
        <v>(|(</v>
      </c>
      <c r="L1271" s="6">
        <f>FLOOR(VLOOKUP($D1271,Sheet1!$D$5:$F$192,3,TRUE),1)</f>
        <v>16</v>
      </c>
      <c r="M1271" s="42" t="str">
        <f>VLOOKUP($D1271,Sheet1!$D$5:$F$192,2,TRUE)</f>
        <v>(|(</v>
      </c>
      <c r="N1271" s="23">
        <f>FLOOR(VLOOKUP($D1271,Sheet1!$G$5:$I$192,3,TRUE),1)</f>
        <v>20</v>
      </c>
      <c r="O1271" s="42" t="str">
        <f>VLOOKUP($D1271,Sheet1!$G$5:$I$192,2,TRUE)</f>
        <v>(|(</v>
      </c>
      <c r="P1271" s="23">
        <v>1</v>
      </c>
      <c r="Q1271" s="43" t="str">
        <f>VLOOKUP($D1271,Sheet1!$J$5:$L$192,2,TRUE)</f>
        <v>(|(.</v>
      </c>
      <c r="R1271" s="23">
        <f>FLOOR(VLOOKUP($D1271,Sheet1!$M$5:$O$192,3,TRUE),1)</f>
        <v>79</v>
      </c>
      <c r="S1271" s="42" t="str">
        <f>VLOOKUP($D1271,Sheet1!$M$5:$O$192,2,TRUE)</f>
        <v>(|(.</v>
      </c>
      <c r="T1271" s="117">
        <f>IF(ABS(D1271-VLOOKUP($D1271,Sheet1!$M$5:$T$192,8,TRUE))&lt;10^-10,"SoCA",D1271-VLOOKUP($D1271,Sheet1!$M$5:$T$192,8,TRUE))</f>
        <v>0.27530809833899639</v>
      </c>
      <c r="U1271" s="109">
        <f>IF(VLOOKUP($D1271,Sheet1!$M$5:$U$192,9,TRUE)=0,"",IF(ABS(D1271-VLOOKUP($D1271,Sheet1!$M$5:$U$192,9,TRUE))&lt;10^-10,"Alt.",D1271-VLOOKUP($D1271,Sheet1!$M$5:$U$192,9,TRUE)))</f>
        <v>0.31197761967903404</v>
      </c>
      <c r="V1271" s="132">
        <f>$D1271-Sheet1!$M$3*$R1271</f>
        <v>0.21280516942059791</v>
      </c>
      <c r="Z1271" s="6"/>
      <c r="AA1271" s="61"/>
    </row>
    <row r="1272" spans="1:27" ht="13.5">
      <c r="A1272" t="s">
        <v>859</v>
      </c>
      <c r="B1272">
        <v>487</v>
      </c>
      <c r="C1272">
        <v>498</v>
      </c>
      <c r="D1272" s="13">
        <f t="shared" si="26"/>
        <v>38.668763982886439</v>
      </c>
      <c r="E1272" s="61" t="s">
        <v>1931</v>
      </c>
      <c r="F1272" s="65">
        <v>570.08074902388228</v>
      </c>
      <c r="G1272" s="6">
        <v>773</v>
      </c>
      <c r="H1272" s="6">
        <v>706</v>
      </c>
      <c r="I1272" s="65">
        <v>-1.3809766764035207</v>
      </c>
      <c r="J1272" s="6">
        <f>VLOOKUP($D1272,Sheet1!$A$5:$C$192,3,TRUE)</f>
        <v>7</v>
      </c>
      <c r="K1272" s="42" t="str">
        <f>VLOOKUP($D1272,Sheet1!$A$5:$C$192,2,TRUE)</f>
        <v>(|(</v>
      </c>
      <c r="L1272" s="6">
        <f>FLOOR(VLOOKUP($D1272,Sheet1!$D$5:$F$192,3,TRUE),1)</f>
        <v>16</v>
      </c>
      <c r="M1272" s="42" t="str">
        <f>VLOOKUP($D1272,Sheet1!$D$5:$F$192,2,TRUE)</f>
        <v>(|(</v>
      </c>
      <c r="N1272" s="23">
        <f>FLOOR(VLOOKUP($D1272,Sheet1!$G$5:$I$192,3,TRUE),1)</f>
        <v>20</v>
      </c>
      <c r="O1272" s="42" t="str">
        <f>VLOOKUP($D1272,Sheet1!$G$5:$I$192,2,TRUE)</f>
        <v>(|(</v>
      </c>
      <c r="P1272" s="23">
        <v>1</v>
      </c>
      <c r="Q1272" s="43" t="str">
        <f>VLOOKUP($D1272,Sheet1!$J$5:$L$192,2,TRUE)</f>
        <v>(|(.</v>
      </c>
      <c r="R1272" s="23">
        <f>FLOOR(VLOOKUP($D1272,Sheet1!$M$5:$O$192,3,TRUE),1)</f>
        <v>79</v>
      </c>
      <c r="S1272" s="42" t="str">
        <f>VLOOKUP($D1272,Sheet1!$M$5:$O$192,2,TRUE)</f>
        <v>(|(.</v>
      </c>
      <c r="T1272" s="117">
        <f>IF(ABS(D1272-VLOOKUP($D1272,Sheet1!$M$5:$T$192,8,TRUE))&lt;10^-10,"SoCA",D1272-VLOOKUP($D1272,Sheet1!$M$5:$T$192,8,TRUE))</f>
        <v>0.18570691798834815</v>
      </c>
      <c r="U1272" s="109">
        <f>IF(VLOOKUP($D1272,Sheet1!$M$5:$U$192,9,TRUE)=0,"",IF(ABS(D1272-VLOOKUP($D1272,Sheet1!$M$5:$U$192,9,TRUE))&lt;10^-10,"Alt.",D1272-VLOOKUP($D1272,Sheet1!$M$5:$U$192,9,TRUE)))</f>
        <v>0.2223764393283858</v>
      </c>
      <c r="V1272" s="132">
        <f>$D1272-Sheet1!$M$3*$R1272</f>
        <v>0.12320398906994967</v>
      </c>
      <c r="Z1272" s="6"/>
      <c r="AA1272" s="61"/>
    </row>
    <row r="1273" spans="1:27" ht="13.5">
      <c r="A1273" t="s">
        <v>1550</v>
      </c>
      <c r="B1273">
        <v>5007501</v>
      </c>
      <c r="C1273">
        <v>5120000</v>
      </c>
      <c r="D1273" s="13">
        <f t="shared" si="26"/>
        <v>38.463607296567858</v>
      </c>
      <c r="E1273" s="61" t="s">
        <v>1931</v>
      </c>
      <c r="F1273" s="65">
        <v>11032.029500903034</v>
      </c>
      <c r="G1273" s="6">
        <v>1457</v>
      </c>
      <c r="H1273" s="6">
        <v>1399</v>
      </c>
      <c r="I1273" s="65">
        <v>-8.3683444318003843</v>
      </c>
      <c r="J1273" s="6">
        <f>VLOOKUP($D1273,Sheet1!$A$5:$C$192,3,TRUE)</f>
        <v>7</v>
      </c>
      <c r="K1273" s="42" t="str">
        <f>VLOOKUP($D1273,Sheet1!$A$5:$C$192,2,TRUE)</f>
        <v>(|(</v>
      </c>
      <c r="L1273" s="6">
        <f>FLOOR(VLOOKUP($D1273,Sheet1!$D$5:$F$192,3,TRUE),1)</f>
        <v>16</v>
      </c>
      <c r="M1273" s="42" t="str">
        <f>VLOOKUP($D1273,Sheet1!$D$5:$F$192,2,TRUE)</f>
        <v>(|(</v>
      </c>
      <c r="N1273" s="23">
        <f>FLOOR(VLOOKUP($D1273,Sheet1!$G$5:$I$192,3,TRUE),1)</f>
        <v>20</v>
      </c>
      <c r="O1273" s="42" t="str">
        <f>VLOOKUP($D1273,Sheet1!$G$5:$I$192,2,TRUE)</f>
        <v>(|(</v>
      </c>
      <c r="P1273" s="23">
        <v>1</v>
      </c>
      <c r="Q1273" s="43" t="str">
        <f>VLOOKUP($D1273,Sheet1!$J$5:$L$192,2,TRUE)</f>
        <v>(|(.</v>
      </c>
      <c r="R1273" s="23">
        <f>FLOOR(VLOOKUP($D1273,Sheet1!$M$5:$O$192,3,TRUE),1)</f>
        <v>79</v>
      </c>
      <c r="S1273" s="42" t="str">
        <f>VLOOKUP($D1273,Sheet1!$M$5:$O$192,2,TRUE)</f>
        <v>(|(.</v>
      </c>
      <c r="T1273" s="117">
        <f>IF(ABS(D1273-VLOOKUP($D1273,Sheet1!$M$5:$T$192,8,TRUE))&lt;10^-10,"SoCA",D1273-VLOOKUP($D1273,Sheet1!$M$5:$T$192,8,TRUE))</f>
        <v>-1.9449768330233042E-2</v>
      </c>
      <c r="U1273" s="109">
        <f>IF(VLOOKUP($D1273,Sheet1!$M$5:$U$192,9,TRUE)=0,"",IF(ABS(D1273-VLOOKUP($D1273,Sheet1!$M$5:$U$192,9,TRUE))&lt;10^-10,"Alt.",D1273-VLOOKUP($D1273,Sheet1!$M$5:$U$192,9,TRUE)))</f>
        <v>1.7219753009804606E-2</v>
      </c>
      <c r="V1273" s="132">
        <f>$D1273-Sheet1!$M$3*$R1273</f>
        <v>-8.1952697248631523E-2</v>
      </c>
      <c r="Z1273" s="6"/>
      <c r="AA1273" s="61"/>
    </row>
    <row r="1274" spans="1:27" ht="13.5">
      <c r="A1274" t="s">
        <v>1168</v>
      </c>
      <c r="B1274">
        <v>143649</v>
      </c>
      <c r="C1274">
        <v>146896</v>
      </c>
      <c r="D1274" s="13">
        <f t="shared" si="26"/>
        <v>38.696594301914693</v>
      </c>
      <c r="E1274" s="61" t="s">
        <v>1931</v>
      </c>
      <c r="F1274" s="65">
        <v>12772.236744214788</v>
      </c>
      <c r="G1274" s="6">
        <v>1071</v>
      </c>
      <c r="H1274" s="6">
        <v>1017</v>
      </c>
      <c r="I1274" s="65">
        <v>-4.3826902905374627</v>
      </c>
      <c r="J1274" s="6">
        <f>VLOOKUP($D1274,Sheet1!$A$5:$C$192,3,TRUE)</f>
        <v>7</v>
      </c>
      <c r="K1274" s="42" t="str">
        <f>VLOOKUP($D1274,Sheet1!$A$5:$C$192,2,TRUE)</f>
        <v>(|(</v>
      </c>
      <c r="L1274" s="6">
        <f>FLOOR(VLOOKUP($D1274,Sheet1!$D$5:$F$192,3,TRUE),1)</f>
        <v>16</v>
      </c>
      <c r="M1274" s="42" t="str">
        <f>VLOOKUP($D1274,Sheet1!$D$5:$F$192,2,TRUE)</f>
        <v>(|(</v>
      </c>
      <c r="N1274" s="23">
        <f>FLOOR(VLOOKUP($D1274,Sheet1!$G$5:$I$192,3,TRUE),1)</f>
        <v>20</v>
      </c>
      <c r="O1274" s="42" t="str">
        <f>VLOOKUP($D1274,Sheet1!$G$5:$I$192,2,TRUE)</f>
        <v>(|(</v>
      </c>
      <c r="P1274" s="23">
        <v>1</v>
      </c>
      <c r="Q1274" s="43" t="str">
        <f>VLOOKUP($D1274,Sheet1!$J$5:$L$192,2,TRUE)</f>
        <v>(|(.</v>
      </c>
      <c r="R1274" s="23">
        <f>FLOOR(VLOOKUP($D1274,Sheet1!$M$5:$O$192,3,TRUE),1)</f>
        <v>79</v>
      </c>
      <c r="S1274" s="42" t="str">
        <f>VLOOKUP($D1274,Sheet1!$M$5:$O$192,2,TRUE)</f>
        <v>(|(.</v>
      </c>
      <c r="T1274" s="117">
        <f>IF(ABS(D1274-VLOOKUP($D1274,Sheet1!$M$5:$T$192,8,TRUE))&lt;10^-10,"SoCA",D1274-VLOOKUP($D1274,Sheet1!$M$5:$T$192,8,TRUE))</f>
        <v>0.21353723701660243</v>
      </c>
      <c r="U1274" s="109">
        <f>IF(VLOOKUP($D1274,Sheet1!$M$5:$U$192,9,TRUE)=0,"",IF(ABS(D1274-VLOOKUP($D1274,Sheet1!$M$5:$U$192,9,TRUE))&lt;10^-10,"Alt.",D1274-VLOOKUP($D1274,Sheet1!$M$5:$U$192,9,TRUE)))</f>
        <v>0.25020675835664008</v>
      </c>
      <c r="V1274" s="132">
        <f>$D1274-Sheet1!$M$3*$R1274</f>
        <v>0.15103430809820395</v>
      </c>
      <c r="Z1274" s="6"/>
      <c r="AA1274" s="61"/>
    </row>
    <row r="1275" spans="1:27" ht="13.5">
      <c r="A1275" s="80" t="s">
        <v>155</v>
      </c>
      <c r="B1275" s="80">
        <f>2^2*11</f>
        <v>44</v>
      </c>
      <c r="C1275" s="80">
        <f>3^2*5</f>
        <v>45</v>
      </c>
      <c r="D1275" s="51">
        <f t="shared" si="26"/>
        <v>38.905773230852915</v>
      </c>
      <c r="E1275" s="61">
        <v>11</v>
      </c>
      <c r="F1275" s="65">
        <v>16.042436524281094</v>
      </c>
      <c r="G1275" s="60">
        <v>17</v>
      </c>
      <c r="H1275" s="60">
        <v>15</v>
      </c>
      <c r="I1275" s="65">
        <v>-0.39557019927251824</v>
      </c>
      <c r="J1275" s="81">
        <f>VLOOKUP($D1275,Sheet1!$A$5:$C$192,3,TRUE)</f>
        <v>7</v>
      </c>
      <c r="K1275" s="82" t="str">
        <f>VLOOKUP($D1275,Sheet1!$A$5:$C$192,2,TRUE)</f>
        <v>(|(</v>
      </c>
      <c r="L1275" s="81">
        <f>FLOOR(VLOOKUP($D1275,Sheet1!$D$5:$F$192,3,TRUE),1)</f>
        <v>16</v>
      </c>
      <c r="M1275" s="82" t="str">
        <f>VLOOKUP($D1275,Sheet1!$D$5:$F$192,2,TRUE)</f>
        <v>(|(</v>
      </c>
      <c r="N1275" s="81">
        <f>FLOOR(VLOOKUP($D1275,Sheet1!$G$5:$I$192,3,TRUE),1)</f>
        <v>20</v>
      </c>
      <c r="O1275" s="82" t="str">
        <f>VLOOKUP($D1275,Sheet1!$G$5:$I$192,2,TRUE)</f>
        <v>(|(</v>
      </c>
      <c r="P1275" s="81">
        <v>1</v>
      </c>
      <c r="Q1275" s="82" t="str">
        <f>VLOOKUP($D1275,Sheet1!$J$5:$L$192,2,TRUE)</f>
        <v>(|(</v>
      </c>
      <c r="R1275" s="81">
        <f>FLOOR(VLOOKUP($D1275,Sheet1!$M$5:$O$192,3,TRUE),1)</f>
        <v>80</v>
      </c>
      <c r="S1275" s="82" t="str">
        <f>VLOOKUP($D1275,Sheet1!$M$5:$O$192,2,TRUE)</f>
        <v>(|(</v>
      </c>
      <c r="T1275" s="111" t="str">
        <f>IF(ABS(D1275-VLOOKUP($D1275,Sheet1!$M$5:$T$192,8,TRUE))&lt;10^-10,"SoCA",D1275-VLOOKUP($D1275,Sheet1!$M$5:$T$192,8,TRUE))</f>
        <v>SoCA</v>
      </c>
      <c r="U1275" s="110" t="str">
        <f>IF(VLOOKUP($D1275,Sheet1!$M$5:$U$192,9,TRUE)=0,"",IF(ABS(D1275-VLOOKUP($D1275,Sheet1!$M$5:$U$192,9,TRUE))&lt;10^-10,"Alt.",D1275-VLOOKUP($D1275,Sheet1!$M$5:$U$192,9,TRUE)))</f>
        <v/>
      </c>
      <c r="V1275" s="135">
        <f>$D1275-Sheet1!$M$3*$R1275</f>
        <v>-0.12770524389796378</v>
      </c>
      <c r="Z1275" s="6"/>
      <c r="AA1275" s="61"/>
    </row>
    <row r="1276" spans="1:27" ht="13.5">
      <c r="A1276" s="23" t="s">
        <v>347</v>
      </c>
      <c r="B1276" s="23">
        <f>2^5*5*7^2</f>
        <v>7840</v>
      </c>
      <c r="C1276" s="23">
        <f>3^6*11</f>
        <v>8019</v>
      </c>
      <c r="D1276" s="13">
        <f t="shared" si="26"/>
        <v>39.082420753996701</v>
      </c>
      <c r="E1276" s="61">
        <v>11</v>
      </c>
      <c r="F1276" s="65">
        <v>42.728221393894032</v>
      </c>
      <c r="G1276" s="6">
        <v>192</v>
      </c>
      <c r="H1276" s="6">
        <v>181</v>
      </c>
      <c r="I1276" s="65">
        <v>3.5935529691655539</v>
      </c>
      <c r="J1276" s="6">
        <f>VLOOKUP($D1276,Sheet1!$A$5:$C$192,3,TRUE)</f>
        <v>7</v>
      </c>
      <c r="K1276" s="42" t="str">
        <f>VLOOKUP($D1276,Sheet1!$A$5:$C$192,2,TRUE)</f>
        <v>(|(</v>
      </c>
      <c r="L1276" s="6">
        <f>FLOOR(VLOOKUP($D1276,Sheet1!$D$5:$F$192,3,TRUE),1)</f>
        <v>16</v>
      </c>
      <c r="M1276" s="42" t="str">
        <f>VLOOKUP($D1276,Sheet1!$D$5:$F$192,2,TRUE)</f>
        <v>(|(</v>
      </c>
      <c r="N1276" s="23">
        <f>FLOOR(VLOOKUP($D1276,Sheet1!$G$5:$I$192,3,TRUE),1)</f>
        <v>20</v>
      </c>
      <c r="O1276" s="42" t="str">
        <f>VLOOKUP($D1276,Sheet1!$G$5:$I$192,2,TRUE)</f>
        <v>(|(</v>
      </c>
      <c r="P1276" s="23">
        <v>1</v>
      </c>
      <c r="Q1276" s="43" t="str">
        <f>VLOOKUP($D1276,Sheet1!$J$5:$L$192,2,TRUE)</f>
        <v>(|(</v>
      </c>
      <c r="R1276" s="23">
        <f>FLOOR(VLOOKUP($D1276,Sheet1!$M$5:$O$192,3,TRUE),1)</f>
        <v>80</v>
      </c>
      <c r="S1276" s="43" t="str">
        <f>VLOOKUP($D1276,Sheet1!$M$5:$O$192,2,TRUE)</f>
        <v>~|\..</v>
      </c>
      <c r="T1276" s="117">
        <f>IF(ABS(D1276-VLOOKUP($D1276,Sheet1!$M$5:$T$192,8,TRUE))&lt;10^-10,"SoCA",D1276-VLOOKUP($D1276,Sheet1!$M$5:$T$192,8,TRUE))</f>
        <v>-8.9407502641662973E-2</v>
      </c>
      <c r="U1276" s="117">
        <f>IF(VLOOKUP($D1276,Sheet1!$M$5:$U$192,9,TRUE)=0,"",IF(ABS(D1276-VLOOKUP($D1276,Sheet1!$M$5:$U$192,9,TRUE))&lt;10^-10,"Alt.",D1276-VLOOKUP($D1276,Sheet1!$M$5:$U$192,9,TRUE)))</f>
        <v>-0.10345967003611634</v>
      </c>
      <c r="V1276" s="132">
        <f>$D1276-Sheet1!$M$3*$R1276</f>
        <v>4.8942279245821396E-2</v>
      </c>
      <c r="Z1276" s="6"/>
      <c r="AA1276" s="61"/>
    </row>
    <row r="1277" spans="1:27" ht="13.5">
      <c r="A1277" s="40" t="s">
        <v>537</v>
      </c>
      <c r="B1277" s="40">
        <f>3^8*5^4</f>
        <v>4100625</v>
      </c>
      <c r="C1277" s="40">
        <f>2^22</f>
        <v>4194304</v>
      </c>
      <c r="D1277" s="13">
        <f t="shared" si="26"/>
        <v>39.105137617561326</v>
      </c>
      <c r="E1277" s="61">
        <v>5</v>
      </c>
      <c r="F1277" s="65">
        <v>49.784783387697075</v>
      </c>
      <c r="G1277" s="59">
        <v>109</v>
      </c>
      <c r="H1277" s="59">
        <v>380</v>
      </c>
      <c r="I1277" s="65">
        <v>-10.40784579088616</v>
      </c>
      <c r="J1277" s="6">
        <f>VLOOKUP($D1277,Sheet1!$A$5:$C$192,3,TRUE)</f>
        <v>7</v>
      </c>
      <c r="K1277" s="42" t="str">
        <f>VLOOKUP($D1277,Sheet1!$A$5:$C$192,2,TRUE)</f>
        <v>(|(</v>
      </c>
      <c r="L1277" s="6">
        <f>FLOOR(VLOOKUP($D1277,Sheet1!$D$5:$F$192,3,TRUE),1)</f>
        <v>16</v>
      </c>
      <c r="M1277" s="42" t="str">
        <f>VLOOKUP($D1277,Sheet1!$D$5:$F$192,2,TRUE)</f>
        <v>(|(</v>
      </c>
      <c r="N1277" s="23">
        <f>FLOOR(VLOOKUP($D1277,Sheet1!$G$5:$I$192,3,TRUE),1)</f>
        <v>20</v>
      </c>
      <c r="O1277" s="42" t="str">
        <f>VLOOKUP($D1277,Sheet1!$G$5:$I$192,2,TRUE)</f>
        <v>(|(</v>
      </c>
      <c r="P1277" s="23">
        <v>1</v>
      </c>
      <c r="Q1277" s="43" t="str">
        <f>VLOOKUP($D1277,Sheet1!$J$5:$L$192,2,TRUE)</f>
        <v>(|(</v>
      </c>
      <c r="R1277" s="40">
        <f>FLOOR(VLOOKUP($D1277,Sheet1!$M$5:$O$192,3,TRUE),1)</f>
        <v>80</v>
      </c>
      <c r="S1277" s="46" t="str">
        <f>VLOOKUP($D1277,Sheet1!$M$5:$O$192,2,TRUE)</f>
        <v>~|\..</v>
      </c>
      <c r="T1277" s="115">
        <f>IF(ABS(D1277-VLOOKUP($D1277,Sheet1!$M$5:$T$192,8,TRUE))&lt;10^-10,"SoCA",D1277-VLOOKUP($D1277,Sheet1!$M$5:$T$192,8,TRUE))</f>
        <v>-6.6690639077037872E-2</v>
      </c>
      <c r="U1277" s="115">
        <f>IF(VLOOKUP($D1277,Sheet1!$M$5:$U$192,9,TRUE)=0,"",IF(ABS(D1277-VLOOKUP($D1277,Sheet1!$M$5:$U$192,9,TRUE))&lt;10^-10,"Alt.",D1277-VLOOKUP($D1277,Sheet1!$M$5:$U$192,9,TRUE)))</f>
        <v>-8.0742806471491235E-2</v>
      </c>
      <c r="V1277" s="150">
        <f>$D1277-Sheet1!$M$3*$R1277</f>
        <v>7.1659142810446497E-2</v>
      </c>
      <c r="Z1277" s="6"/>
      <c r="AA1277" s="61"/>
    </row>
    <row r="1278" spans="1:27" ht="13.5">
      <c r="A1278" t="s">
        <v>614</v>
      </c>
      <c r="B1278">
        <v>1212416</v>
      </c>
      <c r="C1278">
        <v>1240029</v>
      </c>
      <c r="D1278" s="13">
        <f t="shared" si="26"/>
        <v>38.986877233646943</v>
      </c>
      <c r="E1278" s="61">
        <v>37</v>
      </c>
      <c r="F1278" s="65">
        <v>69.759898542559384</v>
      </c>
      <c r="G1278" s="6">
        <v>379</v>
      </c>
      <c r="H1278" s="6">
        <v>459</v>
      </c>
      <c r="I1278" s="65">
        <v>8.5994359317974833</v>
      </c>
      <c r="J1278" s="6">
        <f>VLOOKUP($D1278,Sheet1!$A$5:$C$192,3,TRUE)</f>
        <v>7</v>
      </c>
      <c r="K1278" s="42" t="str">
        <f>VLOOKUP($D1278,Sheet1!$A$5:$C$192,2,TRUE)</f>
        <v>(|(</v>
      </c>
      <c r="L1278" s="6">
        <f>FLOOR(VLOOKUP($D1278,Sheet1!$D$5:$F$192,3,TRUE),1)</f>
        <v>16</v>
      </c>
      <c r="M1278" s="42" t="str">
        <f>VLOOKUP($D1278,Sheet1!$D$5:$F$192,2,TRUE)</f>
        <v>(|(</v>
      </c>
      <c r="N1278" s="23">
        <f>FLOOR(VLOOKUP($D1278,Sheet1!$G$5:$I$192,3,TRUE),1)</f>
        <v>20</v>
      </c>
      <c r="O1278" s="42" t="str">
        <f>VLOOKUP($D1278,Sheet1!$G$5:$I$192,2,TRUE)</f>
        <v>(|(</v>
      </c>
      <c r="P1278" s="23">
        <v>1</v>
      </c>
      <c r="Q1278" s="43" t="str">
        <f>VLOOKUP($D1278,Sheet1!$J$5:$L$192,2,TRUE)</f>
        <v>(|(</v>
      </c>
      <c r="R1278" s="23">
        <f>FLOOR(VLOOKUP($D1278,Sheet1!$M$5:$O$192,3,TRUE),1)</f>
        <v>80</v>
      </c>
      <c r="S1278" s="42" t="str">
        <f>VLOOKUP($D1278,Sheet1!$M$5:$O$192,2,TRUE)</f>
        <v>(|(</v>
      </c>
      <c r="T1278" s="117">
        <f>IF(ABS(D1278-VLOOKUP($D1278,Sheet1!$M$5:$T$192,8,TRUE))&lt;10^-10,"SoCA",D1278-VLOOKUP($D1278,Sheet1!$M$5:$T$192,8,TRUE))</f>
        <v>8.1104002794027963E-2</v>
      </c>
      <c r="U1278" s="109" t="str">
        <f>IF(VLOOKUP($D1278,Sheet1!$M$5:$U$192,9,TRUE)=0,"",IF(ABS(D1278-VLOOKUP($D1278,Sheet1!$M$5:$U$192,9,TRUE))&lt;10^-10,"Alt.",D1278-VLOOKUP($D1278,Sheet1!$M$5:$U$192,9,TRUE)))</f>
        <v/>
      </c>
      <c r="V1278" s="132">
        <f>$D1278-Sheet1!$M$3*$R1278</f>
        <v>-4.660124110393582E-2</v>
      </c>
      <c r="Z1278" s="6"/>
      <c r="AA1278" s="61"/>
    </row>
    <row r="1279" spans="1:27" ht="13.5">
      <c r="A1279" t="s">
        <v>679</v>
      </c>
      <c r="B1279">
        <v>219</v>
      </c>
      <c r="C1279">
        <v>224</v>
      </c>
      <c r="D1279" s="13">
        <f t="shared" si="26"/>
        <v>39.081434947716737</v>
      </c>
      <c r="E1279" s="61" t="s">
        <v>1931</v>
      </c>
      <c r="F1279" s="65">
        <v>80.153401900042169</v>
      </c>
      <c r="G1279" s="6">
        <v>570</v>
      </c>
      <c r="H1279" s="6">
        <v>524</v>
      </c>
      <c r="I1279" s="65">
        <v>-3.4063863311503009</v>
      </c>
      <c r="J1279" s="6">
        <f>VLOOKUP($D1279,Sheet1!$A$5:$C$192,3,TRUE)</f>
        <v>7</v>
      </c>
      <c r="K1279" s="42" t="str">
        <f>VLOOKUP($D1279,Sheet1!$A$5:$C$192,2,TRUE)</f>
        <v>(|(</v>
      </c>
      <c r="L1279" s="6">
        <f>FLOOR(VLOOKUP($D1279,Sheet1!$D$5:$F$192,3,TRUE),1)</f>
        <v>16</v>
      </c>
      <c r="M1279" s="42" t="str">
        <f>VLOOKUP($D1279,Sheet1!$D$5:$F$192,2,TRUE)</f>
        <v>(|(</v>
      </c>
      <c r="N1279" s="23">
        <f>FLOOR(VLOOKUP($D1279,Sheet1!$G$5:$I$192,3,TRUE),1)</f>
        <v>20</v>
      </c>
      <c r="O1279" s="42" t="str">
        <f>VLOOKUP($D1279,Sheet1!$G$5:$I$192,2,TRUE)</f>
        <v>(|(</v>
      </c>
      <c r="P1279" s="23">
        <v>1</v>
      </c>
      <c r="Q1279" s="43" t="str">
        <f>VLOOKUP($D1279,Sheet1!$J$5:$L$192,2,TRUE)</f>
        <v>(|(</v>
      </c>
      <c r="R1279" s="23">
        <f>FLOOR(VLOOKUP($D1279,Sheet1!$M$5:$O$192,3,TRUE),1)</f>
        <v>80</v>
      </c>
      <c r="S1279" s="42" t="str">
        <f>VLOOKUP($D1279,Sheet1!$M$5:$O$192,2,TRUE)</f>
        <v>~|\..</v>
      </c>
      <c r="T1279" s="117">
        <f>IF(ABS(D1279-VLOOKUP($D1279,Sheet1!$M$5:$T$192,8,TRUE))&lt;10^-10,"SoCA",D1279-VLOOKUP($D1279,Sheet1!$M$5:$T$192,8,TRUE))</f>
        <v>-9.0393308921626669E-2</v>
      </c>
      <c r="U1279" s="109">
        <f>IF(VLOOKUP($D1279,Sheet1!$M$5:$U$192,9,TRUE)=0,"",IF(ABS(D1279-VLOOKUP($D1279,Sheet1!$M$5:$U$192,9,TRUE))&lt;10^-10,"Alt.",D1279-VLOOKUP($D1279,Sheet1!$M$5:$U$192,9,TRUE)))</f>
        <v>-0.10444547631608003</v>
      </c>
      <c r="V1279" s="132">
        <f>$D1279-Sheet1!$M$3*$R1279</f>
        <v>4.7956472965857699E-2</v>
      </c>
      <c r="Z1279" s="6"/>
      <c r="AA1279" s="61"/>
    </row>
    <row r="1280" spans="1:27" ht="13.5">
      <c r="A1280" s="6" t="s">
        <v>1882</v>
      </c>
      <c r="B1280">
        <v>98415</v>
      </c>
      <c r="C1280">
        <v>100672</v>
      </c>
      <c r="D1280" s="13">
        <f t="shared" si="26"/>
        <v>39.254824845502526</v>
      </c>
      <c r="E1280" s="61">
        <v>13</v>
      </c>
      <c r="F1280" s="65">
        <v>89.516732006728603</v>
      </c>
      <c r="G1280" s="59">
        <v>1718</v>
      </c>
      <c r="H1280" s="63">
        <v>1000087</v>
      </c>
      <c r="I1280" s="65">
        <v>-11.417062578850762</v>
      </c>
      <c r="J1280" s="6">
        <f>VLOOKUP($D1280,Sheet1!$A$5:$C$192,3,TRUE)</f>
        <v>7</v>
      </c>
      <c r="K1280" s="42" t="str">
        <f>VLOOKUP($D1280,Sheet1!$A$5:$C$192,2,TRUE)</f>
        <v>(|(</v>
      </c>
      <c r="L1280" s="6">
        <f>FLOOR(VLOOKUP($D1280,Sheet1!$D$5:$F$192,3,TRUE),1)</f>
        <v>16</v>
      </c>
      <c r="M1280" s="42" t="str">
        <f>VLOOKUP($D1280,Sheet1!$D$5:$F$192,2,TRUE)</f>
        <v>(|(</v>
      </c>
      <c r="N1280" s="23">
        <f>FLOOR(VLOOKUP($D1280,Sheet1!$G$5:$I$192,3,TRUE),1)</f>
        <v>20</v>
      </c>
      <c r="O1280" s="42" t="str">
        <f>VLOOKUP($D1280,Sheet1!$G$5:$I$192,2,TRUE)</f>
        <v>(|(</v>
      </c>
      <c r="P1280" s="23">
        <v>1</v>
      </c>
      <c r="Q1280" s="43" t="str">
        <f>VLOOKUP($D1280,Sheet1!$J$5:$L$192,2,TRUE)</f>
        <v>(|(</v>
      </c>
      <c r="R1280" s="23">
        <f>FLOOR(VLOOKUP($D1280,Sheet1!$M$5:$O$192,3,TRUE),1)</f>
        <v>80</v>
      </c>
      <c r="S1280" s="42" t="str">
        <f>VLOOKUP($D1280,Sheet1!$M$5:$O$192,2,TRUE)</f>
        <v>~|\..</v>
      </c>
      <c r="T1280" s="117">
        <f>IF(ABS(D1280-VLOOKUP($D1280,Sheet1!$M$5:$T$192,8,TRUE))&lt;10^-10,"SoCA",D1280-VLOOKUP($D1280,Sheet1!$M$5:$T$192,8,TRUE))</f>
        <v>8.2996588864162391E-2</v>
      </c>
      <c r="U1280" s="109">
        <f>IF(VLOOKUP($D1280,Sheet1!$M$5:$U$192,9,TRUE)=0,"",IF(ABS(D1280-VLOOKUP($D1280,Sheet1!$M$5:$U$192,9,TRUE))&lt;10^-10,"Alt.",D1280-VLOOKUP($D1280,Sheet1!$M$5:$U$192,9,TRUE)))</f>
        <v>6.8944421469709027E-2</v>
      </c>
      <c r="V1280" s="132">
        <f>$D1280-Sheet1!$M$3*$R1280</f>
        <v>0.22134637075164676</v>
      </c>
      <c r="Z1280" s="6"/>
      <c r="AA1280" s="61"/>
    </row>
    <row r="1281" spans="1:27" ht="13.5">
      <c r="A1281" t="s">
        <v>1573</v>
      </c>
      <c r="B1281">
        <v>134217728</v>
      </c>
      <c r="C1281">
        <v>137288925</v>
      </c>
      <c r="D1281" s="13">
        <f t="shared" si="26"/>
        <v>39.168009713181483</v>
      </c>
      <c r="E1281" s="61">
        <v>31</v>
      </c>
      <c r="F1281" s="65">
        <v>90.875108319728383</v>
      </c>
      <c r="G1281" s="6">
        <v>1479</v>
      </c>
      <c r="H1281" s="6">
        <v>1422</v>
      </c>
      <c r="I1281" s="65">
        <v>8.5882829451309917</v>
      </c>
      <c r="J1281" s="6">
        <f>VLOOKUP($D1281,Sheet1!$A$5:$C$192,3,TRUE)</f>
        <v>7</v>
      </c>
      <c r="K1281" s="42" t="str">
        <f>VLOOKUP($D1281,Sheet1!$A$5:$C$192,2,TRUE)</f>
        <v>(|(</v>
      </c>
      <c r="L1281" s="6">
        <f>FLOOR(VLOOKUP($D1281,Sheet1!$D$5:$F$192,3,TRUE),1)</f>
        <v>16</v>
      </c>
      <c r="M1281" s="42" t="str">
        <f>VLOOKUP($D1281,Sheet1!$D$5:$F$192,2,TRUE)</f>
        <v>(|(</v>
      </c>
      <c r="N1281" s="23">
        <f>FLOOR(VLOOKUP($D1281,Sheet1!$G$5:$I$192,3,TRUE),1)</f>
        <v>20</v>
      </c>
      <c r="O1281" s="42" t="str">
        <f>VLOOKUP($D1281,Sheet1!$G$5:$I$192,2,TRUE)</f>
        <v>(|(</v>
      </c>
      <c r="P1281" s="23">
        <v>1</v>
      </c>
      <c r="Q1281" s="43" t="str">
        <f>VLOOKUP($D1281,Sheet1!$J$5:$L$192,2,TRUE)</f>
        <v>(|(</v>
      </c>
      <c r="R1281" s="23">
        <f>FLOOR(VLOOKUP($D1281,Sheet1!$M$5:$O$192,3,TRUE),1)</f>
        <v>80</v>
      </c>
      <c r="S1281" s="42" t="str">
        <f>VLOOKUP($D1281,Sheet1!$M$5:$O$192,2,TRUE)</f>
        <v>~|\..</v>
      </c>
      <c r="T1281" s="117">
        <f>IF(ABS(D1281-VLOOKUP($D1281,Sheet1!$M$5:$T$192,8,TRUE))&lt;10^-10,"SoCA",D1281-VLOOKUP($D1281,Sheet1!$M$5:$T$192,8,TRUE))</f>
        <v>-3.8185434568802634E-3</v>
      </c>
      <c r="U1281" s="109">
        <f>IF(VLOOKUP($D1281,Sheet1!$M$5:$U$192,9,TRUE)=0,"",IF(ABS(D1281-VLOOKUP($D1281,Sheet1!$M$5:$U$192,9,TRUE))&lt;10^-10,"Alt.",D1281-VLOOKUP($D1281,Sheet1!$M$5:$U$192,9,TRUE)))</f>
        <v>-1.7870710851333627E-2</v>
      </c>
      <c r="V1281" s="132">
        <f>$D1281-Sheet1!$M$3*$R1281</f>
        <v>0.13453123843060411</v>
      </c>
      <c r="Z1281" s="6"/>
      <c r="AA1281" s="61"/>
    </row>
    <row r="1282" spans="1:27" ht="13.5">
      <c r="A1282" t="s">
        <v>1752</v>
      </c>
      <c r="B1282">
        <v>308367</v>
      </c>
      <c r="C1282">
        <v>315392</v>
      </c>
      <c r="D1282" s="13">
        <f t="shared" si="26"/>
        <v>38.997219897617363</v>
      </c>
      <c r="E1282" s="61">
        <v>47</v>
      </c>
      <c r="F1282" s="65">
        <v>96.678702292224926</v>
      </c>
      <c r="G1282" s="6">
        <v>1545</v>
      </c>
      <c r="H1282" s="6">
        <v>1601</v>
      </c>
      <c r="I1282" s="65">
        <v>-10.40120090370355</v>
      </c>
      <c r="J1282" s="6">
        <f>VLOOKUP($D1282,Sheet1!$A$5:$C$192,3,TRUE)</f>
        <v>7</v>
      </c>
      <c r="K1282" s="42" t="str">
        <f>VLOOKUP($D1282,Sheet1!$A$5:$C$192,2,TRUE)</f>
        <v>(|(</v>
      </c>
      <c r="L1282" s="6">
        <f>FLOOR(VLOOKUP($D1282,Sheet1!$D$5:$F$192,3,TRUE),1)</f>
        <v>16</v>
      </c>
      <c r="M1282" s="42" t="str">
        <f>VLOOKUP($D1282,Sheet1!$D$5:$F$192,2,TRUE)</f>
        <v>(|(</v>
      </c>
      <c r="N1282" s="23">
        <f>FLOOR(VLOOKUP($D1282,Sheet1!$G$5:$I$192,3,TRUE),1)</f>
        <v>20</v>
      </c>
      <c r="O1282" s="42" t="str">
        <f>VLOOKUP($D1282,Sheet1!$G$5:$I$192,2,TRUE)</f>
        <v>(|(</v>
      </c>
      <c r="P1282" s="23">
        <v>1</v>
      </c>
      <c r="Q1282" s="43" t="str">
        <f>VLOOKUP($D1282,Sheet1!$J$5:$L$192,2,TRUE)</f>
        <v>(|(</v>
      </c>
      <c r="R1282" s="23">
        <f>FLOOR(VLOOKUP($D1282,Sheet1!$M$5:$O$192,3,TRUE),1)</f>
        <v>80</v>
      </c>
      <c r="S1282" s="42" t="str">
        <f>VLOOKUP($D1282,Sheet1!$M$5:$O$192,2,TRUE)</f>
        <v>(|(</v>
      </c>
      <c r="T1282" s="117">
        <f>IF(ABS(D1282-VLOOKUP($D1282,Sheet1!$M$5:$T$192,8,TRUE))&lt;10^-10,"SoCA",D1282-VLOOKUP($D1282,Sheet1!$M$5:$T$192,8,TRUE))</f>
        <v>9.1446666764447571E-2</v>
      </c>
      <c r="U1282" s="109" t="str">
        <f>IF(VLOOKUP($D1282,Sheet1!$M$5:$U$192,9,TRUE)=0,"",IF(ABS(D1282-VLOOKUP($D1282,Sheet1!$M$5:$U$192,9,TRUE))&lt;10^-10,"Alt.",D1282-VLOOKUP($D1282,Sheet1!$M$5:$U$192,9,TRUE)))</f>
        <v/>
      </c>
      <c r="V1282" s="132">
        <f>$D1282-Sheet1!$M$3*$R1282</f>
        <v>-3.6258577133516212E-2</v>
      </c>
      <c r="Z1282" s="6"/>
      <c r="AA1282" s="61"/>
    </row>
    <row r="1283" spans="1:27" ht="13.5">
      <c r="A1283" t="s">
        <v>1543</v>
      </c>
      <c r="B1283">
        <v>142155</v>
      </c>
      <c r="C1283">
        <v>145408</v>
      </c>
      <c r="D1283" s="13">
        <f t="shared" si="26"/>
        <v>39.170161713761225</v>
      </c>
      <c r="E1283" s="61" t="s">
        <v>1931</v>
      </c>
      <c r="F1283" s="65">
        <v>116.88181341940914</v>
      </c>
      <c r="G1283" s="6">
        <v>1321</v>
      </c>
      <c r="H1283" s="6">
        <v>1392</v>
      </c>
      <c r="I1283" s="65">
        <v>-9.4118495613848676</v>
      </c>
      <c r="J1283" s="6">
        <f>VLOOKUP($D1283,Sheet1!$A$5:$C$192,3,TRUE)</f>
        <v>7</v>
      </c>
      <c r="K1283" s="42" t="str">
        <f>VLOOKUP($D1283,Sheet1!$A$5:$C$192,2,TRUE)</f>
        <v>(|(</v>
      </c>
      <c r="L1283" s="6">
        <f>FLOOR(VLOOKUP($D1283,Sheet1!$D$5:$F$192,3,TRUE),1)</f>
        <v>16</v>
      </c>
      <c r="M1283" s="42" t="str">
        <f>VLOOKUP($D1283,Sheet1!$D$5:$F$192,2,TRUE)</f>
        <v>(|(</v>
      </c>
      <c r="N1283" s="23">
        <f>FLOOR(VLOOKUP($D1283,Sheet1!$G$5:$I$192,3,TRUE),1)</f>
        <v>20</v>
      </c>
      <c r="O1283" s="42" t="str">
        <f>VLOOKUP($D1283,Sheet1!$G$5:$I$192,2,TRUE)</f>
        <v>(|(</v>
      </c>
      <c r="P1283" s="23">
        <v>1</v>
      </c>
      <c r="Q1283" s="43" t="str">
        <f>VLOOKUP($D1283,Sheet1!$J$5:$L$192,2,TRUE)</f>
        <v>(|(</v>
      </c>
      <c r="R1283" s="23">
        <f>FLOOR(VLOOKUP($D1283,Sheet1!$M$5:$O$192,3,TRUE),1)</f>
        <v>80</v>
      </c>
      <c r="S1283" s="42" t="str">
        <f>VLOOKUP($D1283,Sheet1!$M$5:$O$192,2,TRUE)</f>
        <v>~|\..</v>
      </c>
      <c r="T1283" s="117">
        <f>IF(ABS(D1283-VLOOKUP($D1283,Sheet1!$M$5:$T$192,8,TRUE))&lt;10^-10,"SoCA",D1283-VLOOKUP($D1283,Sheet1!$M$5:$T$192,8,TRUE))</f>
        <v>-1.6665428771389657E-3</v>
      </c>
      <c r="U1283" s="109">
        <f>IF(VLOOKUP($D1283,Sheet1!$M$5:$U$192,9,TRUE)=0,"",IF(ABS(D1283-VLOOKUP($D1283,Sheet1!$M$5:$U$192,9,TRUE))&lt;10^-10,"Alt.",D1283-VLOOKUP($D1283,Sheet1!$M$5:$U$192,9,TRUE)))</f>
        <v>-1.5718710271592329E-2</v>
      </c>
      <c r="V1283" s="132">
        <f>$D1283-Sheet1!$M$3*$R1283</f>
        <v>0.1366832390103454</v>
      </c>
      <c r="Z1283" s="6"/>
      <c r="AA1283" s="61"/>
    </row>
    <row r="1284" spans="1:27" ht="13.5">
      <c r="A1284" t="s">
        <v>1284</v>
      </c>
      <c r="B1284">
        <v>339968</v>
      </c>
      <c r="C1284">
        <v>347733</v>
      </c>
      <c r="D1284" s="13">
        <f t="shared" ref="D1284:D1347" si="27">1200*LN($C1284/$B1284)/LN(2)</f>
        <v>39.097234782628753</v>
      </c>
      <c r="E1284" s="61" t="s">
        <v>1931</v>
      </c>
      <c r="F1284" s="65">
        <v>140.14084830241495</v>
      </c>
      <c r="G1284" s="6">
        <v>1191</v>
      </c>
      <c r="H1284" s="6">
        <v>1133</v>
      </c>
      <c r="I1284" s="65">
        <v>5.5926408154522331</v>
      </c>
      <c r="J1284" s="6">
        <f>VLOOKUP($D1284,Sheet1!$A$5:$C$192,3,TRUE)</f>
        <v>7</v>
      </c>
      <c r="K1284" s="42" t="str">
        <f>VLOOKUP($D1284,Sheet1!$A$5:$C$192,2,TRUE)</f>
        <v>(|(</v>
      </c>
      <c r="L1284" s="6">
        <f>FLOOR(VLOOKUP($D1284,Sheet1!$D$5:$F$192,3,TRUE),1)</f>
        <v>16</v>
      </c>
      <c r="M1284" s="42" t="str">
        <f>VLOOKUP($D1284,Sheet1!$D$5:$F$192,2,TRUE)</f>
        <v>(|(</v>
      </c>
      <c r="N1284" s="23">
        <f>FLOOR(VLOOKUP($D1284,Sheet1!$G$5:$I$192,3,TRUE),1)</f>
        <v>20</v>
      </c>
      <c r="O1284" s="42" t="str">
        <f>VLOOKUP($D1284,Sheet1!$G$5:$I$192,2,TRUE)</f>
        <v>(|(</v>
      </c>
      <c r="P1284" s="23">
        <v>1</v>
      </c>
      <c r="Q1284" s="43" t="str">
        <f>VLOOKUP($D1284,Sheet1!$J$5:$L$192,2,TRUE)</f>
        <v>(|(</v>
      </c>
      <c r="R1284" s="23">
        <f>FLOOR(VLOOKUP($D1284,Sheet1!$M$5:$O$192,3,TRUE),1)</f>
        <v>80</v>
      </c>
      <c r="S1284" s="42" t="str">
        <f>VLOOKUP($D1284,Sheet1!$M$5:$O$192,2,TRUE)</f>
        <v>~|\..</v>
      </c>
      <c r="T1284" s="117">
        <f>IF(ABS(D1284-VLOOKUP($D1284,Sheet1!$M$5:$T$192,8,TRUE))&lt;10^-10,"SoCA",D1284-VLOOKUP($D1284,Sheet1!$M$5:$T$192,8,TRUE))</f>
        <v>-7.4593474009610361E-2</v>
      </c>
      <c r="U1284" s="109">
        <f>IF(VLOOKUP($D1284,Sheet1!$M$5:$U$192,9,TRUE)=0,"",IF(ABS(D1284-VLOOKUP($D1284,Sheet1!$M$5:$U$192,9,TRUE))&lt;10^-10,"Alt.",D1284-VLOOKUP($D1284,Sheet1!$M$5:$U$192,9,TRUE)))</f>
        <v>-8.8645641404063724E-2</v>
      </c>
      <c r="V1284" s="132">
        <f>$D1284-Sheet1!$M$3*$R1284</f>
        <v>6.3756307877874008E-2</v>
      </c>
      <c r="Z1284" s="6"/>
      <c r="AA1284" s="61"/>
    </row>
    <row r="1285" spans="1:27" ht="13.5">
      <c r="A1285" s="6" t="s">
        <v>1880</v>
      </c>
      <c r="B1285">
        <v>157464</v>
      </c>
      <c r="C1285">
        <v>161051</v>
      </c>
      <c r="D1285" s="13">
        <f t="shared" si="27"/>
        <v>38.994704035296706</v>
      </c>
      <c r="E1285" s="61">
        <v>11</v>
      </c>
      <c r="F1285" s="65">
        <v>145.91802778189484</v>
      </c>
      <c r="G1285" s="59">
        <v>1716</v>
      </c>
      <c r="H1285" s="63">
        <v>1000085</v>
      </c>
      <c r="I1285" s="65">
        <v>-11.401045992894684</v>
      </c>
      <c r="J1285" s="6">
        <f>VLOOKUP($D1285,Sheet1!$A$5:$C$192,3,TRUE)</f>
        <v>7</v>
      </c>
      <c r="K1285" s="42" t="str">
        <f>VLOOKUP($D1285,Sheet1!$A$5:$C$192,2,TRUE)</f>
        <v>(|(</v>
      </c>
      <c r="L1285" s="6">
        <f>FLOOR(VLOOKUP($D1285,Sheet1!$D$5:$F$192,3,TRUE),1)</f>
        <v>16</v>
      </c>
      <c r="M1285" s="42" t="str">
        <f>VLOOKUP($D1285,Sheet1!$D$5:$F$192,2,TRUE)</f>
        <v>(|(</v>
      </c>
      <c r="N1285" s="23">
        <f>FLOOR(VLOOKUP($D1285,Sheet1!$G$5:$I$192,3,TRUE),1)</f>
        <v>20</v>
      </c>
      <c r="O1285" s="42" t="str">
        <f>VLOOKUP($D1285,Sheet1!$G$5:$I$192,2,TRUE)</f>
        <v>(|(</v>
      </c>
      <c r="P1285" s="23">
        <v>1</v>
      </c>
      <c r="Q1285" s="43" t="str">
        <f>VLOOKUP($D1285,Sheet1!$J$5:$L$192,2,TRUE)</f>
        <v>(|(</v>
      </c>
      <c r="R1285" s="23">
        <f>FLOOR(VLOOKUP($D1285,Sheet1!$M$5:$O$192,3,TRUE),1)</f>
        <v>80</v>
      </c>
      <c r="S1285" s="42" t="str">
        <f>VLOOKUP($D1285,Sheet1!$M$5:$O$192,2,TRUE)</f>
        <v>(|(</v>
      </c>
      <c r="T1285" s="117">
        <f>IF(ABS(D1285-VLOOKUP($D1285,Sheet1!$M$5:$T$192,8,TRUE))&lt;10^-10,"SoCA",D1285-VLOOKUP($D1285,Sheet1!$M$5:$T$192,8,TRUE))</f>
        <v>8.8930804443791089E-2</v>
      </c>
      <c r="U1285" s="109" t="str">
        <f>IF(VLOOKUP($D1285,Sheet1!$M$5:$U$192,9,TRUE)=0,"",IF(ABS(D1285-VLOOKUP($D1285,Sheet1!$M$5:$U$192,9,TRUE))&lt;10^-10,"Alt.",D1285-VLOOKUP($D1285,Sheet1!$M$5:$U$192,9,TRUE)))</f>
        <v/>
      </c>
      <c r="V1285" s="132">
        <f>$D1285-Sheet1!$M$3*$R1285</f>
        <v>-3.8774439454172693E-2</v>
      </c>
      <c r="Z1285" s="6"/>
      <c r="AA1285" s="61"/>
    </row>
    <row r="1286" spans="1:27" ht="13.5">
      <c r="A1286" t="s">
        <v>1581</v>
      </c>
      <c r="B1286">
        <v>58720256</v>
      </c>
      <c r="C1286">
        <v>60052833</v>
      </c>
      <c r="D1286" s="13">
        <f t="shared" si="27"/>
        <v>38.848858813749501</v>
      </c>
      <c r="E1286" s="61" t="s">
        <v>1931</v>
      </c>
      <c r="F1286" s="65">
        <v>184.70572708117123</v>
      </c>
      <c r="G1286" s="6">
        <v>1366</v>
      </c>
      <c r="H1286" s="6">
        <v>1430</v>
      </c>
      <c r="I1286" s="65">
        <v>9.6079342287390492</v>
      </c>
      <c r="J1286" s="6">
        <f>VLOOKUP($D1286,Sheet1!$A$5:$C$192,3,TRUE)</f>
        <v>7</v>
      </c>
      <c r="K1286" s="42" t="str">
        <f>VLOOKUP($D1286,Sheet1!$A$5:$C$192,2,TRUE)</f>
        <v>(|(</v>
      </c>
      <c r="L1286" s="6">
        <f>FLOOR(VLOOKUP($D1286,Sheet1!$D$5:$F$192,3,TRUE),1)</f>
        <v>16</v>
      </c>
      <c r="M1286" s="42" t="str">
        <f>VLOOKUP($D1286,Sheet1!$D$5:$F$192,2,TRUE)</f>
        <v>(|(</v>
      </c>
      <c r="N1286" s="23">
        <f>FLOOR(VLOOKUP($D1286,Sheet1!$G$5:$I$192,3,TRUE),1)</f>
        <v>20</v>
      </c>
      <c r="O1286" s="42" t="str">
        <f>VLOOKUP($D1286,Sheet1!$G$5:$I$192,2,TRUE)</f>
        <v>(|(</v>
      </c>
      <c r="P1286" s="23">
        <v>1</v>
      </c>
      <c r="Q1286" s="43" t="str">
        <f>VLOOKUP($D1286,Sheet1!$J$5:$L$192,2,TRUE)</f>
        <v>(|(</v>
      </c>
      <c r="R1286" s="23">
        <f>FLOOR(VLOOKUP($D1286,Sheet1!$M$5:$O$192,3,TRUE),1)</f>
        <v>80</v>
      </c>
      <c r="S1286" s="42" t="str">
        <f>VLOOKUP($D1286,Sheet1!$M$5:$O$192,2,TRUE)</f>
        <v>(|(</v>
      </c>
      <c r="T1286" s="117">
        <f>IF(ABS(D1286-VLOOKUP($D1286,Sheet1!$M$5:$T$192,8,TRUE))&lt;10^-10,"SoCA",D1286-VLOOKUP($D1286,Sheet1!$M$5:$T$192,8,TRUE))</f>
        <v>-5.6914417103413939E-2</v>
      </c>
      <c r="U1286" s="109" t="str">
        <f>IF(VLOOKUP($D1286,Sheet1!$M$5:$U$192,9,TRUE)=0,"",IF(ABS(D1286-VLOOKUP($D1286,Sheet1!$M$5:$U$192,9,TRUE))&lt;10^-10,"Alt.",D1286-VLOOKUP($D1286,Sheet1!$M$5:$U$192,9,TRUE)))</f>
        <v/>
      </c>
      <c r="V1286" s="132">
        <f>$D1286-Sheet1!$M$3*$R1286</f>
        <v>-0.18461966100137772</v>
      </c>
      <c r="Z1286" s="6"/>
      <c r="AA1286" s="61"/>
    </row>
    <row r="1287" spans="1:27" ht="13.5">
      <c r="A1287" t="s">
        <v>1762</v>
      </c>
      <c r="B1287">
        <v>5006043</v>
      </c>
      <c r="C1287">
        <v>5120000</v>
      </c>
      <c r="D1287" s="13">
        <f t="shared" si="27"/>
        <v>38.967752334803293</v>
      </c>
      <c r="E1287" s="61" t="s">
        <v>1931</v>
      </c>
      <c r="F1287" s="65">
        <v>212.26543695229469</v>
      </c>
      <c r="G1287" s="6">
        <v>1670</v>
      </c>
      <c r="H1287" s="6">
        <v>1611</v>
      </c>
      <c r="I1287" s="65">
        <v>-10.399386478504912</v>
      </c>
      <c r="J1287" s="6">
        <f>VLOOKUP($D1287,Sheet1!$A$5:$C$192,3,TRUE)</f>
        <v>7</v>
      </c>
      <c r="K1287" s="42" t="str">
        <f>VLOOKUP($D1287,Sheet1!$A$5:$C$192,2,TRUE)</f>
        <v>(|(</v>
      </c>
      <c r="L1287" s="6">
        <f>FLOOR(VLOOKUP($D1287,Sheet1!$D$5:$F$192,3,TRUE),1)</f>
        <v>16</v>
      </c>
      <c r="M1287" s="42" t="str">
        <f>VLOOKUP($D1287,Sheet1!$D$5:$F$192,2,TRUE)</f>
        <v>(|(</v>
      </c>
      <c r="N1287" s="23">
        <f>FLOOR(VLOOKUP($D1287,Sheet1!$G$5:$I$192,3,TRUE),1)</f>
        <v>20</v>
      </c>
      <c r="O1287" s="42" t="str">
        <f>VLOOKUP($D1287,Sheet1!$G$5:$I$192,2,TRUE)</f>
        <v>(|(</v>
      </c>
      <c r="P1287" s="23">
        <v>1</v>
      </c>
      <c r="Q1287" s="43" t="str">
        <f>VLOOKUP($D1287,Sheet1!$J$5:$L$192,2,TRUE)</f>
        <v>(|(</v>
      </c>
      <c r="R1287" s="23">
        <f>FLOOR(VLOOKUP($D1287,Sheet1!$M$5:$O$192,3,TRUE),1)</f>
        <v>80</v>
      </c>
      <c r="S1287" s="42" t="str">
        <f>VLOOKUP($D1287,Sheet1!$M$5:$O$192,2,TRUE)</f>
        <v>(|(</v>
      </c>
      <c r="T1287" s="117">
        <f>IF(ABS(D1287-VLOOKUP($D1287,Sheet1!$M$5:$T$192,8,TRUE))&lt;10^-10,"SoCA",D1287-VLOOKUP($D1287,Sheet1!$M$5:$T$192,8,TRUE))</f>
        <v>6.1979103950378089E-2</v>
      </c>
      <c r="U1287" s="109" t="str">
        <f>IF(VLOOKUP($D1287,Sheet1!$M$5:$U$192,9,TRUE)=0,"",IF(ABS(D1287-VLOOKUP($D1287,Sheet1!$M$5:$U$192,9,TRUE))&lt;10^-10,"Alt.",D1287-VLOOKUP($D1287,Sheet1!$M$5:$U$192,9,TRUE)))</f>
        <v/>
      </c>
      <c r="V1287" s="132">
        <f>$D1287-Sheet1!$M$3*$R1287</f>
        <v>-6.5726139947585693E-2</v>
      </c>
      <c r="Z1287" s="6"/>
      <c r="AA1287" s="61"/>
    </row>
    <row r="1288" spans="1:27" ht="13.5">
      <c r="A1288" t="s">
        <v>1763</v>
      </c>
      <c r="B1288">
        <v>40041783</v>
      </c>
      <c r="C1288">
        <v>40960000</v>
      </c>
      <c r="D1288" s="13">
        <f t="shared" si="27"/>
        <v>39.251398448171159</v>
      </c>
      <c r="E1288" s="61" t="s">
        <v>1931</v>
      </c>
      <c r="F1288" s="65">
        <v>581.23779136876237</v>
      </c>
      <c r="G1288" s="6">
        <v>1671</v>
      </c>
      <c r="H1288" s="6">
        <v>1612</v>
      </c>
      <c r="I1288" s="65">
        <v>-10.416851603084025</v>
      </c>
      <c r="J1288" s="6">
        <f>VLOOKUP($D1288,Sheet1!$A$5:$C$192,3,TRUE)</f>
        <v>7</v>
      </c>
      <c r="K1288" s="42" t="str">
        <f>VLOOKUP($D1288,Sheet1!$A$5:$C$192,2,TRUE)</f>
        <v>(|(</v>
      </c>
      <c r="L1288" s="6">
        <f>FLOOR(VLOOKUP($D1288,Sheet1!$D$5:$F$192,3,TRUE),1)</f>
        <v>16</v>
      </c>
      <c r="M1288" s="42" t="str">
        <f>VLOOKUP($D1288,Sheet1!$D$5:$F$192,2,TRUE)</f>
        <v>(|(</v>
      </c>
      <c r="N1288" s="23">
        <f>FLOOR(VLOOKUP($D1288,Sheet1!$G$5:$I$192,3,TRUE),1)</f>
        <v>20</v>
      </c>
      <c r="O1288" s="42" t="str">
        <f>VLOOKUP($D1288,Sheet1!$G$5:$I$192,2,TRUE)</f>
        <v>(|(</v>
      </c>
      <c r="P1288" s="23">
        <v>1</v>
      </c>
      <c r="Q1288" s="43" t="str">
        <f>VLOOKUP($D1288,Sheet1!$J$5:$L$192,2,TRUE)</f>
        <v>(|(</v>
      </c>
      <c r="R1288" s="23">
        <f>FLOOR(VLOOKUP($D1288,Sheet1!$M$5:$O$192,3,TRUE),1)</f>
        <v>80</v>
      </c>
      <c r="S1288" s="42" t="str">
        <f>VLOOKUP($D1288,Sheet1!$M$5:$O$192,2,TRUE)</f>
        <v>~|\..</v>
      </c>
      <c r="T1288" s="117">
        <f>IF(ABS(D1288-VLOOKUP($D1288,Sheet1!$M$5:$T$192,8,TRUE))&lt;10^-10,"SoCA",D1288-VLOOKUP($D1288,Sheet1!$M$5:$T$192,8,TRUE))</f>
        <v>7.957019153279532E-2</v>
      </c>
      <c r="U1288" s="109">
        <f>IF(VLOOKUP($D1288,Sheet1!$M$5:$U$192,9,TRUE)=0,"",IF(ABS(D1288-VLOOKUP($D1288,Sheet1!$M$5:$U$192,9,TRUE))&lt;10^-10,"Alt.",D1288-VLOOKUP($D1288,Sheet1!$M$5:$U$192,9,TRUE)))</f>
        <v>6.5518024138341957E-2</v>
      </c>
      <c r="V1288" s="132">
        <f>$D1288-Sheet1!$M$3*$R1288</f>
        <v>0.21791997342027969</v>
      </c>
      <c r="Z1288" s="6"/>
      <c r="AA1288" s="61"/>
    </row>
    <row r="1289" spans="1:27" ht="13.5">
      <c r="A1289" t="s">
        <v>1358</v>
      </c>
      <c r="B1289">
        <v>50625</v>
      </c>
      <c r="C1289">
        <v>51776</v>
      </c>
      <c r="D1289" s="13">
        <f t="shared" si="27"/>
        <v>38.920211995084067</v>
      </c>
      <c r="E1289" s="61" t="s">
        <v>1931</v>
      </c>
      <c r="F1289" s="65">
        <v>1328.2613660837446</v>
      </c>
      <c r="G1289" s="6">
        <v>1272</v>
      </c>
      <c r="H1289" s="6">
        <v>1207</v>
      </c>
      <c r="I1289" s="65">
        <v>-6.3964592465895125</v>
      </c>
      <c r="J1289" s="6">
        <f>VLOOKUP($D1289,Sheet1!$A$5:$C$192,3,TRUE)</f>
        <v>7</v>
      </c>
      <c r="K1289" s="42" t="str">
        <f>VLOOKUP($D1289,Sheet1!$A$5:$C$192,2,TRUE)</f>
        <v>(|(</v>
      </c>
      <c r="L1289" s="6">
        <f>FLOOR(VLOOKUP($D1289,Sheet1!$D$5:$F$192,3,TRUE),1)</f>
        <v>16</v>
      </c>
      <c r="M1289" s="42" t="str">
        <f>VLOOKUP($D1289,Sheet1!$D$5:$F$192,2,TRUE)</f>
        <v>(|(</v>
      </c>
      <c r="N1289" s="23">
        <f>FLOOR(VLOOKUP($D1289,Sheet1!$G$5:$I$192,3,TRUE),1)</f>
        <v>20</v>
      </c>
      <c r="O1289" s="42" t="str">
        <f>VLOOKUP($D1289,Sheet1!$G$5:$I$192,2,TRUE)</f>
        <v>(|(</v>
      </c>
      <c r="P1289" s="23">
        <v>1</v>
      </c>
      <c r="Q1289" s="43" t="str">
        <f>VLOOKUP($D1289,Sheet1!$J$5:$L$192,2,TRUE)</f>
        <v>(|(</v>
      </c>
      <c r="R1289" s="23">
        <f>FLOOR(VLOOKUP($D1289,Sheet1!$M$5:$O$192,3,TRUE),1)</f>
        <v>80</v>
      </c>
      <c r="S1289" s="42" t="str">
        <f>VLOOKUP($D1289,Sheet1!$M$5:$O$192,2,TRUE)</f>
        <v>(|(</v>
      </c>
      <c r="T1289" s="117">
        <f>IF(ABS(D1289-VLOOKUP($D1289,Sheet1!$M$5:$T$192,8,TRUE))&lt;10^-10,"SoCA",D1289-VLOOKUP($D1289,Sheet1!$M$5:$T$192,8,TRUE))</f>
        <v>1.4438764231151424E-2</v>
      </c>
      <c r="U1289" s="109" t="str">
        <f>IF(VLOOKUP($D1289,Sheet1!$M$5:$U$192,9,TRUE)=0,"",IF(ABS(D1289-VLOOKUP($D1289,Sheet1!$M$5:$U$192,9,TRUE))&lt;10^-10,"Alt.",D1289-VLOOKUP($D1289,Sheet1!$M$5:$U$192,9,TRUE)))</f>
        <v/>
      </c>
      <c r="V1289" s="132">
        <f>$D1289-Sheet1!$M$3*$R1289</f>
        <v>-0.11326647966681236</v>
      </c>
      <c r="Z1289" s="6"/>
      <c r="AA1289" s="61"/>
    </row>
    <row r="1290" spans="1:27" ht="13.5">
      <c r="A1290" t="s">
        <v>1457</v>
      </c>
      <c r="B1290">
        <v>30375</v>
      </c>
      <c r="C1290">
        <v>31072</v>
      </c>
      <c r="D1290" s="13">
        <f t="shared" si="27"/>
        <v>39.27683658158918</v>
      </c>
      <c r="E1290" s="61" t="s">
        <v>1931</v>
      </c>
      <c r="F1290" s="65">
        <v>1384.2677796379851</v>
      </c>
      <c r="G1290" s="6">
        <v>1370</v>
      </c>
      <c r="H1290" s="6">
        <v>1306</v>
      </c>
      <c r="I1290" s="65">
        <v>-7.4184179216347381</v>
      </c>
      <c r="J1290" s="6">
        <f>VLOOKUP($D1290,Sheet1!$A$5:$C$192,3,TRUE)</f>
        <v>7</v>
      </c>
      <c r="K1290" s="42" t="str">
        <f>VLOOKUP($D1290,Sheet1!$A$5:$C$192,2,TRUE)</f>
        <v>(|(</v>
      </c>
      <c r="L1290" s="6">
        <f>FLOOR(VLOOKUP($D1290,Sheet1!$D$5:$F$192,3,TRUE),1)</f>
        <v>16</v>
      </c>
      <c r="M1290" s="42" t="str">
        <f>VLOOKUP($D1290,Sheet1!$D$5:$F$192,2,TRUE)</f>
        <v>(|(</v>
      </c>
      <c r="N1290" s="23">
        <f>FLOOR(VLOOKUP($D1290,Sheet1!$G$5:$I$192,3,TRUE),1)</f>
        <v>20</v>
      </c>
      <c r="O1290" s="42" t="str">
        <f>VLOOKUP($D1290,Sheet1!$G$5:$I$192,2,TRUE)</f>
        <v>(|(</v>
      </c>
      <c r="P1290" s="23">
        <v>1</v>
      </c>
      <c r="Q1290" s="43" t="str">
        <f>VLOOKUP($D1290,Sheet1!$J$5:$L$192,2,TRUE)</f>
        <v>(|(</v>
      </c>
      <c r="R1290" s="23">
        <f>FLOOR(VLOOKUP($D1290,Sheet1!$M$5:$O$192,3,TRUE),1)</f>
        <v>80</v>
      </c>
      <c r="S1290" s="42" t="str">
        <f>VLOOKUP($D1290,Sheet1!$M$5:$O$192,2,TRUE)</f>
        <v>~|\..</v>
      </c>
      <c r="T1290" s="117">
        <f>IF(ABS(D1290-VLOOKUP($D1290,Sheet1!$M$5:$T$192,8,TRUE))&lt;10^-10,"SoCA",D1290-VLOOKUP($D1290,Sheet1!$M$5:$T$192,8,TRUE))</f>
        <v>0.10500832495081625</v>
      </c>
      <c r="U1290" s="109">
        <f>IF(VLOOKUP($D1290,Sheet1!$M$5:$U$192,9,TRUE)=0,"",IF(ABS(D1290-VLOOKUP($D1290,Sheet1!$M$5:$U$192,9,TRUE))&lt;10^-10,"Alt.",D1290-VLOOKUP($D1290,Sheet1!$M$5:$U$192,9,TRUE)))</f>
        <v>9.0956157556362882E-2</v>
      </c>
      <c r="V1290" s="132">
        <f>$D1290-Sheet1!$M$3*$R1290</f>
        <v>0.24335810683830061</v>
      </c>
      <c r="Z1290" s="6"/>
      <c r="AA1290" s="61"/>
    </row>
    <row r="1291" spans="1:27" ht="13.5">
      <c r="A1291" s="23" t="s">
        <v>658</v>
      </c>
      <c r="B1291" s="23">
        <f>2^3*3^3</f>
        <v>216</v>
      </c>
      <c r="C1291" s="23">
        <f>13*17</f>
        <v>221</v>
      </c>
      <c r="D1291" s="13">
        <f t="shared" si="27"/>
        <v>39.618068673555619</v>
      </c>
      <c r="E1291" s="61">
        <v>17</v>
      </c>
      <c r="F1291" s="65">
        <v>42.491987684831031</v>
      </c>
      <c r="G1291" s="6">
        <v>526</v>
      </c>
      <c r="H1291" s="6">
        <v>503</v>
      </c>
      <c r="I1291" s="65">
        <v>-5.4394288247133069</v>
      </c>
      <c r="J1291" s="6">
        <f>VLOOKUP($D1291,Sheet1!$A$5:$C$192,3,TRUE)</f>
        <v>7</v>
      </c>
      <c r="K1291" s="42" t="str">
        <f>VLOOKUP($D1291,Sheet1!$A$5:$C$192,2,TRUE)</f>
        <v>(|(</v>
      </c>
      <c r="L1291" s="6">
        <f>FLOOR(VLOOKUP($D1291,Sheet1!$D$5:$F$192,3,TRUE),1)</f>
        <v>16</v>
      </c>
      <c r="M1291" s="42" t="str">
        <f>VLOOKUP($D1291,Sheet1!$D$5:$F$192,2,TRUE)</f>
        <v>(|(</v>
      </c>
      <c r="N1291" s="23">
        <f>FLOOR(VLOOKUP($D1291,Sheet1!$G$5:$I$192,3,TRUE),1)</f>
        <v>20</v>
      </c>
      <c r="O1291" s="42" t="str">
        <f>VLOOKUP($D1291,Sheet1!$G$5:$I$192,2,TRUE)</f>
        <v>(|(</v>
      </c>
      <c r="P1291" s="23">
        <v>1</v>
      </c>
      <c r="Q1291" s="43" t="str">
        <f>VLOOKUP($D1291,Sheet1!$J$5:$L$192,2,TRUE)</f>
        <v>(|('</v>
      </c>
      <c r="R1291" s="23">
        <f>FLOOR(VLOOKUP($D1291,Sheet1!$M$5:$O$192,3,TRUE),1)</f>
        <v>81</v>
      </c>
      <c r="S1291" s="43" t="str">
        <f>VLOOKUP($D1291,Sheet1!$M$5:$O$192,2,TRUE)</f>
        <v>~|\.</v>
      </c>
      <c r="T1291" s="117">
        <f>IF(ABS(D1291-VLOOKUP($D1291,Sheet1!$M$5:$T$192,8,TRUE))&lt;10^-10,"SoCA",D1291-VLOOKUP($D1291,Sheet1!$M$5:$T$192,8,TRUE))</f>
        <v>3.6432378770484775E-2</v>
      </c>
      <c r="U1291" s="117">
        <f>IF(VLOOKUP($D1291,Sheet1!$M$5:$U$192,9,TRUE)=0,"",IF(ABS(D1291-VLOOKUP($D1291,Sheet1!$M$5:$U$192,9,TRUE))&lt;10^-10,"Alt.",D1291-VLOOKUP($D1291,Sheet1!$M$5:$U$192,9,TRUE)))</f>
        <v>9.4720835680490723E-3</v>
      </c>
      <c r="V1291" s="132">
        <f>$D1291-Sheet1!$M$3*$R1291</f>
        <v>9.6671717870357554E-2</v>
      </c>
      <c r="Z1291" s="6"/>
      <c r="AA1291" s="61"/>
    </row>
    <row r="1292" spans="1:27" ht="13.5">
      <c r="A1292" s="40" t="s">
        <v>316</v>
      </c>
      <c r="B1292" s="40">
        <f>5^2*19</f>
        <v>475</v>
      </c>
      <c r="C1292" s="40">
        <f>2*3^5</f>
        <v>486</v>
      </c>
      <c r="D1292" s="13">
        <f t="shared" si="27"/>
        <v>39.634560464964757</v>
      </c>
      <c r="E1292" s="61">
        <v>19</v>
      </c>
      <c r="F1292" s="65">
        <v>46.759441827253148</v>
      </c>
      <c r="G1292" s="6">
        <v>162</v>
      </c>
      <c r="H1292" s="6">
        <v>147</v>
      </c>
      <c r="I1292" s="65">
        <v>2.5595557156067654</v>
      </c>
      <c r="J1292" s="6">
        <f>VLOOKUP($D1292,Sheet1!$A$5:$C$192,3,TRUE)</f>
        <v>7</v>
      </c>
      <c r="K1292" s="42" t="str">
        <f>VLOOKUP($D1292,Sheet1!$A$5:$C$192,2,TRUE)</f>
        <v>(|(</v>
      </c>
      <c r="L1292" s="6">
        <f>FLOOR(VLOOKUP($D1292,Sheet1!$D$5:$F$192,3,TRUE),1)</f>
        <v>16</v>
      </c>
      <c r="M1292" s="42" t="str">
        <f>VLOOKUP($D1292,Sheet1!$D$5:$F$192,2,TRUE)</f>
        <v>(|(</v>
      </c>
      <c r="N1292" s="23">
        <f>FLOOR(VLOOKUP($D1292,Sheet1!$G$5:$I$192,3,TRUE),1)</f>
        <v>20</v>
      </c>
      <c r="O1292" s="42" t="str">
        <f>VLOOKUP($D1292,Sheet1!$G$5:$I$192,2,TRUE)</f>
        <v>(|(</v>
      </c>
      <c r="P1292" s="23">
        <v>1</v>
      </c>
      <c r="Q1292" s="43" t="str">
        <f>VLOOKUP($D1292,Sheet1!$J$5:$L$192,2,TRUE)</f>
        <v>(|('</v>
      </c>
      <c r="R1292" s="40">
        <f>FLOOR(VLOOKUP($D1292,Sheet1!$M$5:$O$192,3,TRUE),1)</f>
        <v>81</v>
      </c>
      <c r="S1292" s="46" t="str">
        <f>VLOOKUP($D1292,Sheet1!$M$5:$O$192,2,TRUE)</f>
        <v>~|\.</v>
      </c>
      <c r="T1292" s="115">
        <f>IF(ABS(D1292-VLOOKUP($D1292,Sheet1!$M$5:$T$192,8,TRUE))&lt;10^-10,"SoCA",D1292-VLOOKUP($D1292,Sheet1!$M$5:$T$192,8,TRUE))</f>
        <v>5.2924170179622365E-2</v>
      </c>
      <c r="U1292" s="115">
        <f>IF(VLOOKUP($D1292,Sheet1!$M$5:$U$192,9,TRUE)=0,"",IF(ABS(D1292-VLOOKUP($D1292,Sheet1!$M$5:$U$192,9,TRUE))&lt;10^-10,"Alt.",D1292-VLOOKUP($D1292,Sheet1!$M$5:$U$192,9,TRUE)))</f>
        <v>2.5963874977186663E-2</v>
      </c>
      <c r="V1292" s="150">
        <f>$D1292-Sheet1!$M$3*$R1292</f>
        <v>0.11316350927949514</v>
      </c>
      <c r="Z1292" s="6"/>
      <c r="AA1292" s="61"/>
    </row>
    <row r="1293" spans="1:27" ht="13.5">
      <c r="A1293" s="38" t="s">
        <v>371</v>
      </c>
      <c r="B1293" s="38">
        <f>7*11*13</f>
        <v>1001</v>
      </c>
      <c r="C1293" s="38">
        <f>2^10</f>
        <v>1024</v>
      </c>
      <c r="D1293" s="13">
        <f t="shared" si="27"/>
        <v>39.328489396807768</v>
      </c>
      <c r="E1293" s="61">
        <v>13</v>
      </c>
      <c r="F1293" s="65">
        <v>49.661401025703555</v>
      </c>
      <c r="G1293" s="6">
        <v>227</v>
      </c>
      <c r="H1293" s="6">
        <v>206</v>
      </c>
      <c r="I1293" s="65">
        <v>-2.4215983736491977</v>
      </c>
      <c r="J1293" s="6">
        <f>VLOOKUP($D1293,Sheet1!$A$5:$C$192,3,TRUE)</f>
        <v>7</v>
      </c>
      <c r="K1293" s="42" t="str">
        <f>VLOOKUP($D1293,Sheet1!$A$5:$C$192,2,TRUE)</f>
        <v>(|(</v>
      </c>
      <c r="L1293" s="6">
        <f>FLOOR(VLOOKUP($D1293,Sheet1!$D$5:$F$192,3,TRUE),1)</f>
        <v>16</v>
      </c>
      <c r="M1293" s="42" t="str">
        <f>VLOOKUP($D1293,Sheet1!$D$5:$F$192,2,TRUE)</f>
        <v>(|(</v>
      </c>
      <c r="N1293" s="23">
        <f>FLOOR(VLOOKUP($D1293,Sheet1!$G$5:$I$192,3,TRUE),1)</f>
        <v>20</v>
      </c>
      <c r="O1293" s="42" t="str">
        <f>VLOOKUP($D1293,Sheet1!$G$5:$I$192,2,TRUE)</f>
        <v>(|(</v>
      </c>
      <c r="P1293" s="23">
        <v>1</v>
      </c>
      <c r="Q1293" s="45" t="str">
        <f>VLOOKUP($D1293,Sheet1!$J$5:$L$192,2,TRUE)</f>
        <v>(|('</v>
      </c>
      <c r="R1293" s="38">
        <f>FLOOR(VLOOKUP($D1293,Sheet1!$M$5:$O$192,3,TRUE),1)</f>
        <v>81</v>
      </c>
      <c r="S1293" s="45" t="str">
        <f>VLOOKUP($D1293,Sheet1!$M$5:$O$192,2,TRUE)</f>
        <v>(|('</v>
      </c>
      <c r="T1293" s="112" t="str">
        <f>IF(ABS(D1293-VLOOKUP($D1293,Sheet1!$M$5:$T$192,8,TRUE))&lt;10^-10,"SoCA",D1293-VLOOKUP($D1293,Sheet1!$M$5:$T$192,8,TRUE))</f>
        <v>SoCA</v>
      </c>
      <c r="U1293" s="108">
        <f>IF(VLOOKUP($D1293,Sheet1!$M$5:$U$192,9,TRUE)=0,"",IF(ABS(D1293-VLOOKUP($D1293,Sheet1!$M$5:$U$192,9,TRUE))&lt;10^-10,"Alt.",D1293-VLOOKUP($D1293,Sheet1!$M$5:$U$192,9,TRUE)))</f>
        <v>2.6960295202464124E-2</v>
      </c>
      <c r="V1293" s="133">
        <f>$D1293-Sheet1!$M$3*$R1293</f>
        <v>-0.19290755887749356</v>
      </c>
      <c r="Z1293" s="6"/>
      <c r="AA1293" s="61"/>
    </row>
    <row r="1294" spans="1:27" ht="13.5">
      <c r="A1294" s="6" t="s">
        <v>1070</v>
      </c>
      <c r="B1294" s="6">
        <f>2^6*3*7</f>
        <v>1344</v>
      </c>
      <c r="C1294" s="6">
        <f>5^3*11</f>
        <v>1375</v>
      </c>
      <c r="D1294" s="13">
        <f t="shared" si="27"/>
        <v>39.478176624748961</v>
      </c>
      <c r="E1294" s="61">
        <v>11</v>
      </c>
      <c r="F1294" s="65">
        <v>52.925543018903412</v>
      </c>
      <c r="G1294" s="6">
        <v>986</v>
      </c>
      <c r="H1294" s="6">
        <v>919</v>
      </c>
      <c r="I1294" s="65">
        <v>-3.4308151616137987</v>
      </c>
      <c r="J1294" s="6">
        <f>VLOOKUP($D1294,Sheet1!$A$5:$C$192,3,TRUE)</f>
        <v>7</v>
      </c>
      <c r="K1294" s="42" t="str">
        <f>VLOOKUP($D1294,Sheet1!$A$5:$C$192,2,TRUE)</f>
        <v>(|(</v>
      </c>
      <c r="L1294" s="6">
        <f>FLOOR(VLOOKUP($D1294,Sheet1!$D$5:$F$192,3,TRUE),1)</f>
        <v>16</v>
      </c>
      <c r="M1294" s="42" t="str">
        <f>VLOOKUP($D1294,Sheet1!$D$5:$F$192,2,TRUE)</f>
        <v>(|(</v>
      </c>
      <c r="N1294" s="23">
        <f>FLOOR(VLOOKUP($D1294,Sheet1!$G$5:$I$192,3,TRUE),1)</f>
        <v>20</v>
      </c>
      <c r="O1294" s="42" t="str">
        <f>VLOOKUP($D1294,Sheet1!$G$5:$I$192,2,TRUE)</f>
        <v>(|(</v>
      </c>
      <c r="P1294" s="23">
        <v>1</v>
      </c>
      <c r="Q1294" s="43" t="str">
        <f>VLOOKUP($D1294,Sheet1!$J$5:$L$192,2,TRUE)</f>
        <v>(|('</v>
      </c>
      <c r="R1294" s="23">
        <f>FLOOR(VLOOKUP($D1294,Sheet1!$M$5:$O$192,3,TRUE),1)</f>
        <v>81</v>
      </c>
      <c r="S1294" s="42" t="str">
        <f>VLOOKUP($D1294,Sheet1!$M$5:$O$192,2,TRUE)</f>
        <v>(|('</v>
      </c>
      <c r="T1294" s="117">
        <f>IF(ABS(D1294-VLOOKUP($D1294,Sheet1!$M$5:$T$192,8,TRUE))&lt;10^-10,"SoCA",D1294-VLOOKUP($D1294,Sheet1!$M$5:$T$192,8,TRUE))</f>
        <v>0.14968722794122158</v>
      </c>
      <c r="U1294" s="109">
        <f>IF(VLOOKUP($D1294,Sheet1!$M$5:$U$192,9,TRUE)=0,"",IF(ABS(D1294-VLOOKUP($D1294,Sheet1!$M$5:$U$192,9,TRUE))&lt;10^-10,"Alt.",D1294-VLOOKUP($D1294,Sheet1!$M$5:$U$192,9,TRUE)))</f>
        <v>0.17664752314365728</v>
      </c>
      <c r="V1294" s="132">
        <f>$D1294-Sheet1!$M$3*$R1294</f>
        <v>-4.32203309363004E-2</v>
      </c>
      <c r="Z1294" s="6"/>
      <c r="AA1294" s="61"/>
    </row>
    <row r="1295" spans="1:27" ht="13.5">
      <c r="A1295" t="s">
        <v>1671</v>
      </c>
      <c r="B1295">
        <v>54675</v>
      </c>
      <c r="C1295">
        <v>55936</v>
      </c>
      <c r="D1295" s="13">
        <f t="shared" si="27"/>
        <v>39.474929613336442</v>
      </c>
      <c r="E1295" s="61">
        <v>23</v>
      </c>
      <c r="F1295" s="65">
        <v>61.013676116167751</v>
      </c>
      <c r="G1295" s="6">
        <v>1581</v>
      </c>
      <c r="H1295" s="6">
        <v>1520</v>
      </c>
      <c r="I1295" s="65">
        <v>-9.4306152312916236</v>
      </c>
      <c r="J1295" s="6">
        <f>VLOOKUP($D1295,Sheet1!$A$5:$C$192,3,TRUE)</f>
        <v>7</v>
      </c>
      <c r="K1295" s="42" t="str">
        <f>VLOOKUP($D1295,Sheet1!$A$5:$C$192,2,TRUE)</f>
        <v>(|(</v>
      </c>
      <c r="L1295" s="6">
        <f>FLOOR(VLOOKUP($D1295,Sheet1!$D$5:$F$192,3,TRUE),1)</f>
        <v>16</v>
      </c>
      <c r="M1295" s="42" t="str">
        <f>VLOOKUP($D1295,Sheet1!$D$5:$F$192,2,TRUE)</f>
        <v>(|(</v>
      </c>
      <c r="N1295" s="23">
        <f>FLOOR(VLOOKUP($D1295,Sheet1!$G$5:$I$192,3,TRUE),1)</f>
        <v>20</v>
      </c>
      <c r="O1295" s="42" t="str">
        <f>VLOOKUP($D1295,Sheet1!$G$5:$I$192,2,TRUE)</f>
        <v>(|(</v>
      </c>
      <c r="P1295" s="23">
        <v>1</v>
      </c>
      <c r="Q1295" s="43" t="str">
        <f>VLOOKUP($D1295,Sheet1!$J$5:$L$192,2,TRUE)</f>
        <v>(|('</v>
      </c>
      <c r="R1295" s="23">
        <f>FLOOR(VLOOKUP($D1295,Sheet1!$M$5:$O$192,3,TRUE),1)</f>
        <v>81</v>
      </c>
      <c r="S1295" s="42" t="str">
        <f>VLOOKUP($D1295,Sheet1!$M$5:$O$192,2,TRUE)</f>
        <v>(|('</v>
      </c>
      <c r="T1295" s="117">
        <f>IF(ABS(D1295-VLOOKUP($D1295,Sheet1!$M$5:$T$192,8,TRUE))&lt;10^-10,"SoCA",D1295-VLOOKUP($D1295,Sheet1!$M$5:$T$192,8,TRUE))</f>
        <v>0.14644021652870265</v>
      </c>
      <c r="U1295" s="109">
        <f>IF(VLOOKUP($D1295,Sheet1!$M$5:$U$192,9,TRUE)=0,"",IF(ABS(D1295-VLOOKUP($D1295,Sheet1!$M$5:$U$192,9,TRUE))&lt;10^-10,"Alt.",D1295-VLOOKUP($D1295,Sheet1!$M$5:$U$192,9,TRUE)))</f>
        <v>0.17340051173113835</v>
      </c>
      <c r="V1295" s="132">
        <f>$D1295-Sheet1!$M$3*$R1295</f>
        <v>-4.6467342348819329E-2</v>
      </c>
      <c r="Z1295" s="6"/>
      <c r="AA1295" s="61"/>
    </row>
    <row r="1296" spans="1:27" ht="13.5">
      <c r="A1296" t="s">
        <v>1143</v>
      </c>
      <c r="B1296">
        <v>16767</v>
      </c>
      <c r="C1296">
        <v>17152</v>
      </c>
      <c r="D1296" s="13">
        <f t="shared" si="27"/>
        <v>39.302676088587098</v>
      </c>
      <c r="E1296" s="61" t="s">
        <v>1931</v>
      </c>
      <c r="F1296" s="65">
        <v>95.077246052765801</v>
      </c>
      <c r="G1296" s="6">
        <v>729</v>
      </c>
      <c r="H1296" s="6">
        <v>992</v>
      </c>
      <c r="I1296" s="65">
        <v>-8.4200089542190497</v>
      </c>
      <c r="J1296" s="6">
        <f>VLOOKUP($D1296,Sheet1!$A$5:$C$192,3,TRUE)</f>
        <v>7</v>
      </c>
      <c r="K1296" s="42" t="str">
        <f>VLOOKUP($D1296,Sheet1!$A$5:$C$192,2,TRUE)</f>
        <v>(|(</v>
      </c>
      <c r="L1296" s="6">
        <f>FLOOR(VLOOKUP($D1296,Sheet1!$D$5:$F$192,3,TRUE),1)</f>
        <v>16</v>
      </c>
      <c r="M1296" s="42" t="str">
        <f>VLOOKUP($D1296,Sheet1!$D$5:$F$192,2,TRUE)</f>
        <v>(|(</v>
      </c>
      <c r="N1296" s="23">
        <f>FLOOR(VLOOKUP($D1296,Sheet1!$G$5:$I$192,3,TRUE),1)</f>
        <v>20</v>
      </c>
      <c r="O1296" s="42" t="str">
        <f>VLOOKUP($D1296,Sheet1!$G$5:$I$192,2,TRUE)</f>
        <v>(|(</v>
      </c>
      <c r="P1296" s="23">
        <v>1</v>
      </c>
      <c r="Q1296" s="43" t="str">
        <f>VLOOKUP($D1296,Sheet1!$J$5:$L$192,2,TRUE)</f>
        <v>(|('</v>
      </c>
      <c r="R1296" s="23">
        <f>FLOOR(VLOOKUP($D1296,Sheet1!$M$5:$O$192,3,TRUE),1)</f>
        <v>81</v>
      </c>
      <c r="S1296" s="42" t="str">
        <f>VLOOKUP($D1296,Sheet1!$M$5:$O$192,2,TRUE)</f>
        <v>(|('</v>
      </c>
      <c r="T1296" s="117">
        <f>IF(ABS(D1296-VLOOKUP($D1296,Sheet1!$M$5:$T$192,8,TRUE))&lt;10^-10,"SoCA",D1296-VLOOKUP($D1296,Sheet1!$M$5:$T$192,8,TRUE))</f>
        <v>-2.5813308220641318E-2</v>
      </c>
      <c r="U1296" s="109">
        <f>IF(VLOOKUP($D1296,Sheet1!$M$5:$U$192,9,TRUE)=0,"",IF(ABS(D1296-VLOOKUP($D1296,Sheet1!$M$5:$U$192,9,TRUE))&lt;10^-10,"Alt.",D1296-VLOOKUP($D1296,Sheet1!$M$5:$U$192,9,TRUE)))</f>
        <v>1.1469869817943845E-3</v>
      </c>
      <c r="V1296" s="132">
        <f>$D1296-Sheet1!$M$3*$R1296</f>
        <v>-0.2187208670981633</v>
      </c>
      <c r="Z1296" s="6"/>
      <c r="AA1296" s="61"/>
    </row>
    <row r="1297" spans="1:27" ht="13.5">
      <c r="A1297" t="s">
        <v>1280</v>
      </c>
      <c r="B1297">
        <v>167772160</v>
      </c>
      <c r="C1297">
        <v>171655443</v>
      </c>
      <c r="D1297" s="13">
        <f t="shared" si="27"/>
        <v>39.614722152524152</v>
      </c>
      <c r="E1297" s="61">
        <v>19</v>
      </c>
      <c r="F1297" s="65">
        <v>99.599192223668112</v>
      </c>
      <c r="G1297" s="6">
        <v>653</v>
      </c>
      <c r="H1297" s="6">
        <v>1129</v>
      </c>
      <c r="I1297" s="65">
        <v>9.5607772327786407</v>
      </c>
      <c r="J1297" s="6">
        <f>VLOOKUP($D1297,Sheet1!$A$5:$C$192,3,TRUE)</f>
        <v>7</v>
      </c>
      <c r="K1297" s="42" t="str">
        <f>VLOOKUP($D1297,Sheet1!$A$5:$C$192,2,TRUE)</f>
        <v>(|(</v>
      </c>
      <c r="L1297" s="6">
        <f>FLOOR(VLOOKUP($D1297,Sheet1!$D$5:$F$192,3,TRUE),1)</f>
        <v>16</v>
      </c>
      <c r="M1297" s="42" t="str">
        <f>VLOOKUP($D1297,Sheet1!$D$5:$F$192,2,TRUE)</f>
        <v>(|(</v>
      </c>
      <c r="N1297" s="23">
        <f>FLOOR(VLOOKUP($D1297,Sheet1!$G$5:$I$192,3,TRUE),1)</f>
        <v>20</v>
      </c>
      <c r="O1297" s="42" t="str">
        <f>VLOOKUP($D1297,Sheet1!$G$5:$I$192,2,TRUE)</f>
        <v>(|(</v>
      </c>
      <c r="P1297" s="23">
        <v>1</v>
      </c>
      <c r="Q1297" s="43" t="str">
        <f>VLOOKUP($D1297,Sheet1!$J$5:$L$192,2,TRUE)</f>
        <v>(|('</v>
      </c>
      <c r="R1297" s="23">
        <f>FLOOR(VLOOKUP($D1297,Sheet1!$M$5:$O$192,3,TRUE),1)</f>
        <v>81</v>
      </c>
      <c r="S1297" s="42" t="str">
        <f>VLOOKUP($D1297,Sheet1!$M$5:$O$192,2,TRUE)</f>
        <v>~|\.</v>
      </c>
      <c r="T1297" s="117">
        <f>IF(ABS(D1297-VLOOKUP($D1297,Sheet1!$M$5:$T$192,8,TRUE))&lt;10^-10,"SoCA",D1297-VLOOKUP($D1297,Sheet1!$M$5:$T$192,8,TRUE))</f>
        <v>3.3085857739017399E-2</v>
      </c>
      <c r="U1297" s="109">
        <f>IF(VLOOKUP($D1297,Sheet1!$M$5:$U$192,9,TRUE)=0,"",IF(ABS(D1297-VLOOKUP($D1297,Sheet1!$M$5:$U$192,9,TRUE))&lt;10^-10,"Alt.",D1297-VLOOKUP($D1297,Sheet1!$M$5:$U$192,9,TRUE)))</f>
        <v>6.1255625365816968E-3</v>
      </c>
      <c r="V1297" s="132">
        <f>$D1297-Sheet1!$M$3*$R1297</f>
        <v>9.3325196838890179E-2</v>
      </c>
      <c r="Z1297" s="6"/>
      <c r="AA1297" s="61"/>
    </row>
    <row r="1298" spans="1:27" ht="13.5">
      <c r="A1298" t="s">
        <v>781</v>
      </c>
      <c r="B1298">
        <v>2560</v>
      </c>
      <c r="C1298">
        <v>2619</v>
      </c>
      <c r="D1298" s="13">
        <f t="shared" si="27"/>
        <v>39.446699355880504</v>
      </c>
      <c r="E1298" s="61" t="s">
        <v>1931</v>
      </c>
      <c r="F1298" s="65">
        <v>102.1216864588382</v>
      </c>
      <c r="G1298" s="6">
        <v>733</v>
      </c>
      <c r="H1298" s="6">
        <v>627</v>
      </c>
      <c r="I1298" s="65">
        <v>0.57112300850836606</v>
      </c>
      <c r="J1298" s="6">
        <f>VLOOKUP($D1298,Sheet1!$A$5:$C$192,3,TRUE)</f>
        <v>7</v>
      </c>
      <c r="K1298" s="42" t="str">
        <f>VLOOKUP($D1298,Sheet1!$A$5:$C$192,2,TRUE)</f>
        <v>(|(</v>
      </c>
      <c r="L1298" s="6">
        <f>FLOOR(VLOOKUP($D1298,Sheet1!$D$5:$F$192,3,TRUE),1)</f>
        <v>16</v>
      </c>
      <c r="M1298" s="42" t="str">
        <f>VLOOKUP($D1298,Sheet1!$D$5:$F$192,2,TRUE)</f>
        <v>(|(</v>
      </c>
      <c r="N1298" s="23">
        <f>FLOOR(VLOOKUP($D1298,Sheet1!$G$5:$I$192,3,TRUE),1)</f>
        <v>20</v>
      </c>
      <c r="O1298" s="42" t="str">
        <f>VLOOKUP($D1298,Sheet1!$G$5:$I$192,2,TRUE)</f>
        <v>(|(</v>
      </c>
      <c r="P1298" s="23">
        <v>1</v>
      </c>
      <c r="Q1298" s="43" t="str">
        <f>VLOOKUP($D1298,Sheet1!$J$5:$L$192,2,TRUE)</f>
        <v>(|('</v>
      </c>
      <c r="R1298" s="23">
        <f>FLOOR(VLOOKUP($D1298,Sheet1!$M$5:$O$192,3,TRUE),1)</f>
        <v>81</v>
      </c>
      <c r="S1298" s="42" t="str">
        <f>VLOOKUP($D1298,Sheet1!$M$5:$O$192,2,TRUE)</f>
        <v>(|('</v>
      </c>
      <c r="T1298" s="117">
        <f>IF(ABS(D1298-VLOOKUP($D1298,Sheet1!$M$5:$T$192,8,TRUE))&lt;10^-10,"SoCA",D1298-VLOOKUP($D1298,Sheet1!$M$5:$T$192,8,TRUE))</f>
        <v>0.11820995907276455</v>
      </c>
      <c r="U1298" s="109">
        <f>IF(VLOOKUP($D1298,Sheet1!$M$5:$U$192,9,TRUE)=0,"",IF(ABS(D1298-VLOOKUP($D1298,Sheet1!$M$5:$U$192,9,TRUE))&lt;10^-10,"Alt.",D1298-VLOOKUP($D1298,Sheet1!$M$5:$U$192,9,TRUE)))</f>
        <v>0.14517025427520025</v>
      </c>
      <c r="V1298" s="132">
        <f>$D1298-Sheet1!$M$3*$R1298</f>
        <v>-7.4697599804757431E-2</v>
      </c>
      <c r="Z1298" s="6"/>
      <c r="AA1298" s="61"/>
    </row>
    <row r="1299" spans="1:27" ht="13.5">
      <c r="A1299" t="s">
        <v>1155</v>
      </c>
      <c r="B1299">
        <v>3159</v>
      </c>
      <c r="C1299">
        <v>3232</v>
      </c>
      <c r="D1299" s="13">
        <f t="shared" si="27"/>
        <v>39.551113205906127</v>
      </c>
      <c r="E1299" s="61" t="s">
        <v>1931</v>
      </c>
      <c r="F1299" s="65">
        <v>116.69273030128099</v>
      </c>
      <c r="G1299" s="6">
        <v>931</v>
      </c>
      <c r="H1299" s="6">
        <v>1004</v>
      </c>
      <c r="I1299" s="65">
        <v>-7.435306132638078</v>
      </c>
      <c r="J1299" s="6">
        <f>VLOOKUP($D1299,Sheet1!$A$5:$C$192,3,TRUE)</f>
        <v>7</v>
      </c>
      <c r="K1299" s="42" t="str">
        <f>VLOOKUP($D1299,Sheet1!$A$5:$C$192,2,TRUE)</f>
        <v>(|(</v>
      </c>
      <c r="L1299" s="6">
        <f>FLOOR(VLOOKUP($D1299,Sheet1!$D$5:$F$192,3,TRUE),1)</f>
        <v>16</v>
      </c>
      <c r="M1299" s="42" t="str">
        <f>VLOOKUP($D1299,Sheet1!$D$5:$F$192,2,TRUE)</f>
        <v>(|(</v>
      </c>
      <c r="N1299" s="23">
        <f>FLOOR(VLOOKUP($D1299,Sheet1!$G$5:$I$192,3,TRUE),1)</f>
        <v>20</v>
      </c>
      <c r="O1299" s="42" t="str">
        <f>VLOOKUP($D1299,Sheet1!$G$5:$I$192,2,TRUE)</f>
        <v>(|(</v>
      </c>
      <c r="P1299" s="23">
        <v>1</v>
      </c>
      <c r="Q1299" s="43" t="str">
        <f>VLOOKUP($D1299,Sheet1!$J$5:$L$192,2,TRUE)</f>
        <v>(|('</v>
      </c>
      <c r="R1299" s="23">
        <f>FLOOR(VLOOKUP($D1299,Sheet1!$M$5:$O$192,3,TRUE),1)</f>
        <v>81</v>
      </c>
      <c r="S1299" s="42" t="str">
        <f>VLOOKUP($D1299,Sheet1!$M$5:$O$192,2,TRUE)</f>
        <v>~|\.</v>
      </c>
      <c r="T1299" s="117">
        <f>IF(ABS(D1299-VLOOKUP($D1299,Sheet1!$M$5:$T$192,8,TRUE))&lt;10^-10,"SoCA",D1299-VLOOKUP($D1299,Sheet1!$M$5:$T$192,8,TRUE))</f>
        <v>-3.0523088879007787E-2</v>
      </c>
      <c r="U1299" s="109">
        <f>IF(VLOOKUP($D1299,Sheet1!$M$5:$U$192,9,TRUE)=0,"",IF(ABS(D1299-VLOOKUP($D1299,Sheet1!$M$5:$U$192,9,TRUE))&lt;10^-10,"Alt.",D1299-VLOOKUP($D1299,Sheet1!$M$5:$U$192,9,TRUE)))</f>
        <v>-5.7483384081443489E-2</v>
      </c>
      <c r="V1299" s="132">
        <f>$D1299-Sheet1!$M$3*$R1299</f>
        <v>2.9716250220864993E-2</v>
      </c>
      <c r="Z1299" s="6"/>
      <c r="AA1299" s="61"/>
    </row>
    <row r="1300" spans="1:27" ht="13.5">
      <c r="A1300" t="s">
        <v>1069</v>
      </c>
      <c r="B1300">
        <v>87</v>
      </c>
      <c r="C1300">
        <v>89</v>
      </c>
      <c r="D1300" s="13">
        <f t="shared" si="27"/>
        <v>39.347922141203298</v>
      </c>
      <c r="E1300" s="61" t="s">
        <v>1931</v>
      </c>
      <c r="F1300" s="65">
        <v>118.16826072196189</v>
      </c>
      <c r="G1300" s="6">
        <v>985</v>
      </c>
      <c r="H1300" s="6">
        <v>918</v>
      </c>
      <c r="I1300" s="65">
        <v>-3.4227949185189726</v>
      </c>
      <c r="J1300" s="6">
        <f>VLOOKUP($D1300,Sheet1!$A$5:$C$192,3,TRUE)</f>
        <v>7</v>
      </c>
      <c r="K1300" s="42" t="str">
        <f>VLOOKUP($D1300,Sheet1!$A$5:$C$192,2,TRUE)</f>
        <v>(|(</v>
      </c>
      <c r="L1300" s="6">
        <f>FLOOR(VLOOKUP($D1300,Sheet1!$D$5:$F$192,3,TRUE),1)</f>
        <v>16</v>
      </c>
      <c r="M1300" s="42" t="str">
        <f>VLOOKUP($D1300,Sheet1!$D$5:$F$192,2,TRUE)</f>
        <v>(|(</v>
      </c>
      <c r="N1300" s="23">
        <f>FLOOR(VLOOKUP($D1300,Sheet1!$G$5:$I$192,3,TRUE),1)</f>
        <v>20</v>
      </c>
      <c r="O1300" s="42" t="str">
        <f>VLOOKUP($D1300,Sheet1!$G$5:$I$192,2,TRUE)</f>
        <v>(|(</v>
      </c>
      <c r="P1300" s="23">
        <v>1</v>
      </c>
      <c r="Q1300" s="43" t="str">
        <f>VLOOKUP($D1300,Sheet1!$J$5:$L$192,2,TRUE)</f>
        <v>(|('</v>
      </c>
      <c r="R1300" s="23">
        <f>FLOOR(VLOOKUP($D1300,Sheet1!$M$5:$O$192,3,TRUE),1)</f>
        <v>81</v>
      </c>
      <c r="S1300" s="42" t="str">
        <f>VLOOKUP($D1300,Sheet1!$M$5:$O$192,2,TRUE)</f>
        <v>(|('</v>
      </c>
      <c r="T1300" s="117">
        <f>IF(ABS(D1300-VLOOKUP($D1300,Sheet1!$M$5:$T$192,8,TRUE))&lt;10^-10,"SoCA",D1300-VLOOKUP($D1300,Sheet1!$M$5:$T$192,8,TRUE))</f>
        <v>1.9432744395558643E-2</v>
      </c>
      <c r="U1300" s="109">
        <f>IF(VLOOKUP($D1300,Sheet1!$M$5:$U$192,9,TRUE)=0,"",IF(ABS(D1300-VLOOKUP($D1300,Sheet1!$M$5:$U$192,9,TRUE))&lt;10^-10,"Alt.",D1300-VLOOKUP($D1300,Sheet1!$M$5:$U$192,9,TRUE)))</f>
        <v>4.6393039597994346E-2</v>
      </c>
      <c r="V1300" s="132">
        <f>$D1300-Sheet1!$M$3*$R1300</f>
        <v>-0.17347481448196334</v>
      </c>
      <c r="Z1300" s="6"/>
      <c r="AA1300" s="61"/>
    </row>
    <row r="1301" spans="1:27" ht="13.5">
      <c r="A1301" t="s">
        <v>645</v>
      </c>
      <c r="B1301">
        <v>2097152</v>
      </c>
      <c r="C1301">
        <v>2145447</v>
      </c>
      <c r="D1301" s="13">
        <f t="shared" si="27"/>
        <v>39.416197520798391</v>
      </c>
      <c r="E1301" s="61" t="s">
        <v>1931</v>
      </c>
      <c r="F1301" s="65">
        <v>138.69877324202253</v>
      </c>
      <c r="G1301" s="6">
        <v>461</v>
      </c>
      <c r="H1301" s="6">
        <v>490</v>
      </c>
      <c r="I1301" s="65">
        <v>6.5730011176186069</v>
      </c>
      <c r="J1301" s="6">
        <f>VLOOKUP($D1301,Sheet1!$A$5:$C$192,3,TRUE)</f>
        <v>7</v>
      </c>
      <c r="K1301" s="42" t="str">
        <f>VLOOKUP($D1301,Sheet1!$A$5:$C$192,2,TRUE)</f>
        <v>(|(</v>
      </c>
      <c r="L1301" s="6">
        <f>FLOOR(VLOOKUP($D1301,Sheet1!$D$5:$F$192,3,TRUE),1)</f>
        <v>16</v>
      </c>
      <c r="M1301" s="42" t="str">
        <f>VLOOKUP($D1301,Sheet1!$D$5:$F$192,2,TRUE)</f>
        <v>(|(</v>
      </c>
      <c r="N1301" s="23">
        <f>FLOOR(VLOOKUP($D1301,Sheet1!$G$5:$I$192,3,TRUE),1)</f>
        <v>20</v>
      </c>
      <c r="O1301" s="42" t="str">
        <f>VLOOKUP($D1301,Sheet1!$G$5:$I$192,2,TRUE)</f>
        <v>(|(</v>
      </c>
      <c r="P1301" s="23">
        <v>1</v>
      </c>
      <c r="Q1301" s="43" t="str">
        <f>VLOOKUP($D1301,Sheet1!$J$5:$L$192,2,TRUE)</f>
        <v>(|('</v>
      </c>
      <c r="R1301" s="23">
        <f>FLOOR(VLOOKUP($D1301,Sheet1!$M$5:$O$192,3,TRUE),1)</f>
        <v>81</v>
      </c>
      <c r="S1301" s="42" t="str">
        <f>VLOOKUP($D1301,Sheet1!$M$5:$O$192,2,TRUE)</f>
        <v>(|('</v>
      </c>
      <c r="T1301" s="117">
        <f>IF(ABS(D1301-VLOOKUP($D1301,Sheet1!$M$5:$T$192,8,TRUE))&lt;10^-10,"SoCA",D1301-VLOOKUP($D1301,Sheet1!$M$5:$T$192,8,TRUE))</f>
        <v>8.7708123990651643E-2</v>
      </c>
      <c r="U1301" s="109">
        <f>IF(VLOOKUP($D1301,Sheet1!$M$5:$U$192,9,TRUE)=0,"",IF(ABS(D1301-VLOOKUP($D1301,Sheet1!$M$5:$U$192,9,TRUE))&lt;10^-10,"Alt.",D1301-VLOOKUP($D1301,Sheet1!$M$5:$U$192,9,TRUE)))</f>
        <v>0.11466841919308735</v>
      </c>
      <c r="V1301" s="132">
        <f>$D1301-Sheet1!$M$3*$R1301</f>
        <v>-0.10519943488687034</v>
      </c>
      <c r="Z1301" s="6"/>
      <c r="AA1301" s="61"/>
    </row>
    <row r="1302" spans="1:27" ht="13.5">
      <c r="A1302" t="s">
        <v>1473</v>
      </c>
      <c r="B1302">
        <v>3866624</v>
      </c>
      <c r="C1302">
        <v>3956283</v>
      </c>
      <c r="D1302" s="13">
        <f t="shared" si="27"/>
        <v>39.685377968991752</v>
      </c>
      <c r="E1302" s="61" t="s">
        <v>1931</v>
      </c>
      <c r="F1302" s="65">
        <v>142.24639548588658</v>
      </c>
      <c r="G1302" s="6">
        <v>1384</v>
      </c>
      <c r="H1302" s="6">
        <v>1322</v>
      </c>
      <c r="I1302" s="65">
        <v>7.5564266967455769</v>
      </c>
      <c r="J1302" s="6">
        <f>VLOOKUP($D1302,Sheet1!$A$5:$C$192,3,TRUE)</f>
        <v>7</v>
      </c>
      <c r="K1302" s="42" t="str">
        <f>VLOOKUP($D1302,Sheet1!$A$5:$C$192,2,TRUE)</f>
        <v>(|(</v>
      </c>
      <c r="L1302" s="6">
        <f>FLOOR(VLOOKUP($D1302,Sheet1!$D$5:$F$192,3,TRUE),1)</f>
        <v>16</v>
      </c>
      <c r="M1302" s="42" t="str">
        <f>VLOOKUP($D1302,Sheet1!$D$5:$F$192,2,TRUE)</f>
        <v>(|(</v>
      </c>
      <c r="N1302" s="23">
        <f>FLOOR(VLOOKUP($D1302,Sheet1!$G$5:$I$192,3,TRUE),1)</f>
        <v>20</v>
      </c>
      <c r="O1302" s="42" t="str">
        <f>VLOOKUP($D1302,Sheet1!$G$5:$I$192,2,TRUE)</f>
        <v>(|(</v>
      </c>
      <c r="P1302" s="23">
        <v>1</v>
      </c>
      <c r="Q1302" s="43" t="str">
        <f>VLOOKUP($D1302,Sheet1!$J$5:$L$192,2,TRUE)</f>
        <v>(|('</v>
      </c>
      <c r="R1302" s="23">
        <f>FLOOR(VLOOKUP($D1302,Sheet1!$M$5:$O$192,3,TRUE),1)</f>
        <v>81</v>
      </c>
      <c r="S1302" s="42" t="str">
        <f>VLOOKUP($D1302,Sheet1!$M$5:$O$192,2,TRUE)</f>
        <v>~|\.</v>
      </c>
      <c r="T1302" s="117">
        <f>IF(ABS(D1302-VLOOKUP($D1302,Sheet1!$M$5:$T$192,8,TRUE))&lt;10^-10,"SoCA",D1302-VLOOKUP($D1302,Sheet1!$M$5:$T$192,8,TRUE))</f>
        <v>0.10374167420661706</v>
      </c>
      <c r="U1302" s="109">
        <f>IF(VLOOKUP($D1302,Sheet1!$M$5:$U$192,9,TRUE)=0,"",IF(ABS(D1302-VLOOKUP($D1302,Sheet1!$M$5:$U$192,9,TRUE))&lt;10^-10,"Alt.",D1302-VLOOKUP($D1302,Sheet1!$M$5:$U$192,9,TRUE)))</f>
        <v>7.678137900418136E-2</v>
      </c>
      <c r="V1302" s="132">
        <f>$D1302-Sheet1!$M$3*$R1302</f>
        <v>0.16398101330648984</v>
      </c>
      <c r="Z1302" s="6"/>
      <c r="AA1302" s="61"/>
    </row>
    <row r="1303" spans="1:27" ht="13.5">
      <c r="A1303" t="s">
        <v>557</v>
      </c>
      <c r="B1303">
        <v>2147483648</v>
      </c>
      <c r="C1303">
        <v>2197265625</v>
      </c>
      <c r="D1303" s="13">
        <f t="shared" si="27"/>
        <v>39.674568108792641</v>
      </c>
      <c r="E1303" s="61">
        <v>5</v>
      </c>
      <c r="F1303" s="65">
        <v>204.06109491432844</v>
      </c>
      <c r="G1303" s="6">
        <v>469</v>
      </c>
      <c r="H1303" s="6">
        <v>401</v>
      </c>
      <c r="I1303" s="65">
        <v>-0.44290770077949926</v>
      </c>
      <c r="J1303" s="6">
        <f>VLOOKUP($D1303,Sheet1!$A$5:$C$192,3,TRUE)</f>
        <v>7</v>
      </c>
      <c r="K1303" s="42" t="str">
        <f>VLOOKUP($D1303,Sheet1!$A$5:$C$192,2,TRUE)</f>
        <v>(|(</v>
      </c>
      <c r="L1303" s="6">
        <f>FLOOR(VLOOKUP($D1303,Sheet1!$D$5:$F$192,3,TRUE),1)</f>
        <v>16</v>
      </c>
      <c r="M1303" s="42" t="str">
        <f>VLOOKUP($D1303,Sheet1!$D$5:$F$192,2,TRUE)</f>
        <v>(|(</v>
      </c>
      <c r="N1303" s="23">
        <f>FLOOR(VLOOKUP($D1303,Sheet1!$G$5:$I$192,3,TRUE),1)</f>
        <v>20</v>
      </c>
      <c r="O1303" s="42" t="str">
        <f>VLOOKUP($D1303,Sheet1!$G$5:$I$192,2,TRUE)</f>
        <v>(|(</v>
      </c>
      <c r="P1303" s="23">
        <v>1</v>
      </c>
      <c r="Q1303" s="43" t="str">
        <f>VLOOKUP($D1303,Sheet1!$J$5:$L$192,2,TRUE)</f>
        <v>(|('</v>
      </c>
      <c r="R1303" s="23">
        <f>FLOOR(VLOOKUP($D1303,Sheet1!$M$5:$O$192,3,TRUE),1)</f>
        <v>81</v>
      </c>
      <c r="S1303" s="42" t="str">
        <f>VLOOKUP($D1303,Sheet1!$M$5:$O$192,2,TRUE)</f>
        <v>~|\.</v>
      </c>
      <c r="T1303" s="117">
        <f>IF(ABS(D1303-VLOOKUP($D1303,Sheet1!$M$5:$T$192,8,TRUE))&lt;10^-10,"SoCA",D1303-VLOOKUP($D1303,Sheet1!$M$5:$T$192,8,TRUE))</f>
        <v>9.293181400750683E-2</v>
      </c>
      <c r="U1303" s="109">
        <f>IF(VLOOKUP($D1303,Sheet1!$M$5:$U$192,9,TRUE)=0,"",IF(ABS(D1303-VLOOKUP($D1303,Sheet1!$M$5:$U$192,9,TRUE))&lt;10^-10,"Alt.",D1303-VLOOKUP($D1303,Sheet1!$M$5:$U$192,9,TRUE)))</f>
        <v>6.5971518805071128E-2</v>
      </c>
      <c r="V1303" s="132">
        <f>$D1303-Sheet1!$M$3*$R1303</f>
        <v>0.15317115310737961</v>
      </c>
      <c r="Z1303" s="6"/>
      <c r="AA1303" s="61"/>
    </row>
    <row r="1304" spans="1:27" ht="13.5">
      <c r="A1304" t="s">
        <v>782</v>
      </c>
      <c r="B1304">
        <v>3616</v>
      </c>
      <c r="C1304">
        <v>3699</v>
      </c>
      <c r="D1304" s="13">
        <f t="shared" si="27"/>
        <v>39.288747250568875</v>
      </c>
      <c r="E1304" s="61" t="s">
        <v>1931</v>
      </c>
      <c r="F1304" s="65">
        <v>250.14502859379252</v>
      </c>
      <c r="G1304" s="6">
        <v>734</v>
      </c>
      <c r="H1304" s="6">
        <v>628</v>
      </c>
      <c r="I1304" s="65">
        <v>0.58084869508325276</v>
      </c>
      <c r="J1304" s="6">
        <f>VLOOKUP($D1304,Sheet1!$A$5:$C$192,3,TRUE)</f>
        <v>7</v>
      </c>
      <c r="K1304" s="42" t="str">
        <f>VLOOKUP($D1304,Sheet1!$A$5:$C$192,2,TRUE)</f>
        <v>(|(</v>
      </c>
      <c r="L1304" s="6">
        <f>FLOOR(VLOOKUP($D1304,Sheet1!$D$5:$F$192,3,TRUE),1)</f>
        <v>16</v>
      </c>
      <c r="M1304" s="42" t="str">
        <f>VLOOKUP($D1304,Sheet1!$D$5:$F$192,2,TRUE)</f>
        <v>(|(</v>
      </c>
      <c r="N1304" s="23">
        <f>FLOOR(VLOOKUP($D1304,Sheet1!$G$5:$I$192,3,TRUE),1)</f>
        <v>20</v>
      </c>
      <c r="O1304" s="42" t="str">
        <f>VLOOKUP($D1304,Sheet1!$G$5:$I$192,2,TRUE)</f>
        <v>(|(</v>
      </c>
      <c r="P1304" s="23">
        <v>1</v>
      </c>
      <c r="Q1304" s="43" t="str">
        <f>VLOOKUP($D1304,Sheet1!$J$5:$L$192,2,TRUE)</f>
        <v>(|('</v>
      </c>
      <c r="R1304" s="23">
        <f>FLOOR(VLOOKUP($D1304,Sheet1!$M$5:$O$192,3,TRUE),1)</f>
        <v>81</v>
      </c>
      <c r="S1304" s="42" t="str">
        <f>VLOOKUP($D1304,Sheet1!$M$5:$O$192,2,TRUE)</f>
        <v>(|('</v>
      </c>
      <c r="T1304" s="117">
        <f>IF(ABS(D1304-VLOOKUP($D1304,Sheet1!$M$5:$T$192,8,TRUE))&lt;10^-10,"SoCA",D1304-VLOOKUP($D1304,Sheet1!$M$5:$T$192,8,TRUE))</f>
        <v>-3.9742146238864962E-2</v>
      </c>
      <c r="U1304" s="109">
        <f>IF(VLOOKUP($D1304,Sheet1!$M$5:$U$192,9,TRUE)=0,"",IF(ABS(D1304-VLOOKUP($D1304,Sheet1!$M$5:$U$192,9,TRUE))&lt;10^-10,"Alt.",D1304-VLOOKUP($D1304,Sheet1!$M$5:$U$192,9,TRUE)))</f>
        <v>-1.2781851036429259E-2</v>
      </c>
      <c r="V1304" s="132">
        <f>$D1304-Sheet1!$M$3*$R1304</f>
        <v>-0.23264970511638694</v>
      </c>
      <c r="Z1304" s="6"/>
      <c r="AA1304" s="61"/>
    </row>
    <row r="1305" spans="1:27" ht="13.5">
      <c r="A1305" t="s">
        <v>1463</v>
      </c>
      <c r="B1305">
        <v>151875</v>
      </c>
      <c r="C1305">
        <v>155392</v>
      </c>
      <c r="D1305" s="13">
        <f t="shared" si="27"/>
        <v>39.633387720542217</v>
      </c>
      <c r="E1305" s="61" t="s">
        <v>1931</v>
      </c>
      <c r="F1305" s="65">
        <v>1006.8611952912429</v>
      </c>
      <c r="G1305" s="6">
        <v>1376</v>
      </c>
      <c r="H1305" s="6">
        <v>1312</v>
      </c>
      <c r="I1305" s="65">
        <v>-7.4403720742465982</v>
      </c>
      <c r="J1305" s="6">
        <f>VLOOKUP($D1305,Sheet1!$A$5:$C$192,3,TRUE)</f>
        <v>7</v>
      </c>
      <c r="K1305" s="42" t="str">
        <f>VLOOKUP($D1305,Sheet1!$A$5:$C$192,2,TRUE)</f>
        <v>(|(</v>
      </c>
      <c r="L1305" s="6">
        <f>FLOOR(VLOOKUP($D1305,Sheet1!$D$5:$F$192,3,TRUE),1)</f>
        <v>16</v>
      </c>
      <c r="M1305" s="42" t="str">
        <f>VLOOKUP($D1305,Sheet1!$D$5:$F$192,2,TRUE)</f>
        <v>(|(</v>
      </c>
      <c r="N1305" s="23">
        <f>FLOOR(VLOOKUP($D1305,Sheet1!$G$5:$I$192,3,TRUE),1)</f>
        <v>20</v>
      </c>
      <c r="O1305" s="42" t="str">
        <f>VLOOKUP($D1305,Sheet1!$G$5:$I$192,2,TRUE)</f>
        <v>(|(</v>
      </c>
      <c r="P1305" s="23">
        <v>1</v>
      </c>
      <c r="Q1305" s="43" t="str">
        <f>VLOOKUP($D1305,Sheet1!$J$5:$L$192,2,TRUE)</f>
        <v>(|('</v>
      </c>
      <c r="R1305" s="23">
        <f>FLOOR(VLOOKUP($D1305,Sheet1!$M$5:$O$192,3,TRUE),1)</f>
        <v>81</v>
      </c>
      <c r="S1305" s="42" t="str">
        <f>VLOOKUP($D1305,Sheet1!$M$5:$O$192,2,TRUE)</f>
        <v>~|\.</v>
      </c>
      <c r="T1305" s="117">
        <f>IF(ABS(D1305-VLOOKUP($D1305,Sheet1!$M$5:$T$192,8,TRUE))&lt;10^-10,"SoCA",D1305-VLOOKUP($D1305,Sheet1!$M$5:$T$192,8,TRUE))</f>
        <v>5.1751425757082359E-2</v>
      </c>
      <c r="U1305" s="109">
        <f>IF(VLOOKUP($D1305,Sheet1!$M$5:$U$192,9,TRUE)=0,"",IF(ABS(D1305-VLOOKUP($D1305,Sheet1!$M$5:$U$192,9,TRUE))&lt;10^-10,"Alt.",D1305-VLOOKUP($D1305,Sheet1!$M$5:$U$192,9,TRUE)))</f>
        <v>2.4791130554646656E-2</v>
      </c>
      <c r="V1305" s="132">
        <f>$D1305-Sheet1!$M$3*$R1305</f>
        <v>0.11199076485695514</v>
      </c>
      <c r="Z1305" s="6"/>
      <c r="AA1305" s="61"/>
    </row>
    <row r="1306" spans="1:27" ht="13.5">
      <c r="A1306" s="33" t="s">
        <v>158</v>
      </c>
      <c r="B1306" s="33">
        <f>2^14</f>
        <v>16384</v>
      </c>
      <c r="C1306" s="33">
        <f>3^6*23</f>
        <v>16767</v>
      </c>
      <c r="D1306" s="13">
        <f t="shared" si="27"/>
        <v>40.004352460739959</v>
      </c>
      <c r="E1306" s="61">
        <v>23</v>
      </c>
      <c r="F1306" s="65">
        <v>28.272209951023477</v>
      </c>
      <c r="G1306" s="6">
        <v>35</v>
      </c>
      <c r="H1306" s="6">
        <v>34</v>
      </c>
      <c r="I1306" s="65">
        <v>3.5367862752012971</v>
      </c>
      <c r="J1306" s="6">
        <f>VLOOKUP($D1306,Sheet1!$A$5:$C$192,3,TRUE)</f>
        <v>7</v>
      </c>
      <c r="K1306" s="42" t="str">
        <f>VLOOKUP($D1306,Sheet1!$A$5:$C$192,2,TRUE)</f>
        <v>(|(</v>
      </c>
      <c r="L1306" s="34">
        <f>FLOOR(VLOOKUP($D1306,Sheet1!$D$5:$F$192,3,TRUE),1)</f>
        <v>17</v>
      </c>
      <c r="M1306" s="41" t="str">
        <f>VLOOKUP($D1306,Sheet1!$D$5:$F$192,2,TRUE)</f>
        <v>~|\</v>
      </c>
      <c r="N1306" s="34">
        <f>FLOOR(VLOOKUP($D1306,Sheet1!$G$5:$I$192,3,TRUE),1)</f>
        <v>20</v>
      </c>
      <c r="O1306" s="41" t="str">
        <f>VLOOKUP($D1306,Sheet1!$G$5:$I$192,2,TRUE)</f>
        <v>~|\</v>
      </c>
      <c r="P1306" s="34">
        <v>1</v>
      </c>
      <c r="Q1306" s="41" t="str">
        <f>VLOOKUP($D1306,Sheet1!$J$5:$L$192,2,TRUE)</f>
        <v>~|\</v>
      </c>
      <c r="R1306" s="34">
        <f>FLOOR(VLOOKUP($D1306,Sheet1!$M$5:$O$192,3,TRUE),1)</f>
        <v>82</v>
      </c>
      <c r="S1306" s="41" t="str">
        <f>VLOOKUP($D1306,Sheet1!$M$5:$O$192,2,TRUE)</f>
        <v>~|\</v>
      </c>
      <c r="T1306" s="114" t="str">
        <f>IF(ABS(D1306-VLOOKUP($D1306,Sheet1!$M$5:$T$192,8,TRUE))&lt;10^-10,"SoCA",D1306-VLOOKUP($D1306,Sheet1!$M$5:$T$192,8,TRUE))</f>
        <v>SoCA</v>
      </c>
      <c r="U1306" s="126" t="str">
        <f>IF(VLOOKUP($D1306,Sheet1!$M$5:$U$192,9,TRUE)=0,"",IF(ABS(D1306-VLOOKUP($D1306,Sheet1!$M$5:$U$192,9,TRUE))&lt;10^-10,"Alt.",D1306-VLOOKUP($D1306,Sheet1!$M$5:$U$192,9,TRUE)))</f>
        <v/>
      </c>
      <c r="V1306" s="137">
        <f>$D1306-Sheet1!$M$3*$R1306</f>
        <v>-4.9629758796854162E-3</v>
      </c>
      <c r="Z1306" s="6"/>
      <c r="AA1306" s="61"/>
    </row>
    <row r="1307" spans="1:27" ht="13.5">
      <c r="A1307" s="23" t="s">
        <v>494</v>
      </c>
      <c r="B1307" s="23">
        <f>3^5*5*7</f>
        <v>8505</v>
      </c>
      <c r="C1307" s="23">
        <f>2^9*17</f>
        <v>8704</v>
      </c>
      <c r="D1307" s="13">
        <f t="shared" si="27"/>
        <v>40.040784839510636</v>
      </c>
      <c r="E1307" s="61">
        <v>17</v>
      </c>
      <c r="F1307" s="65">
        <v>36.779895679733286</v>
      </c>
      <c r="G1307" s="6">
        <v>322</v>
      </c>
      <c r="H1307" s="6">
        <v>335</v>
      </c>
      <c r="I1307" s="65">
        <v>-7.4654569990899962</v>
      </c>
      <c r="J1307" s="6">
        <f>VLOOKUP($D1307,Sheet1!$A$5:$C$192,3,TRUE)</f>
        <v>7</v>
      </c>
      <c r="K1307" s="42" t="str">
        <f>VLOOKUP($D1307,Sheet1!$A$5:$C$192,2,TRUE)</f>
        <v>(|(</v>
      </c>
      <c r="L1307" s="6">
        <f>FLOOR(VLOOKUP($D1307,Sheet1!$D$5:$F$192,3,TRUE),1)</f>
        <v>17</v>
      </c>
      <c r="M1307" s="42" t="str">
        <f>VLOOKUP($D1307,Sheet1!$D$5:$F$192,2,TRUE)</f>
        <v>~|\</v>
      </c>
      <c r="N1307" s="23">
        <f>FLOOR(VLOOKUP($D1307,Sheet1!$G$5:$I$192,3,TRUE),1)</f>
        <v>20</v>
      </c>
      <c r="O1307" s="42" t="str">
        <f>VLOOKUP($D1307,Sheet1!$G$5:$I$192,2,TRUE)</f>
        <v>~|\</v>
      </c>
      <c r="P1307" s="23">
        <v>1</v>
      </c>
      <c r="Q1307" s="43" t="str">
        <f>VLOOKUP($D1307,Sheet1!$J$5:$L$192,2,TRUE)</f>
        <v>~|\</v>
      </c>
      <c r="R1307" s="23">
        <f>FLOOR(VLOOKUP($D1307,Sheet1!$M$5:$O$192,3,TRUE),1)</f>
        <v>82</v>
      </c>
      <c r="S1307" s="43" t="str">
        <f>VLOOKUP($D1307,Sheet1!$M$5:$O$192,2,TRUE)</f>
        <v>~|\</v>
      </c>
      <c r="T1307" s="117">
        <f>IF(ABS(D1307-VLOOKUP($D1307,Sheet1!$M$5:$T$192,8,TRUE))&lt;10^-10,"SoCA",D1307-VLOOKUP($D1307,Sheet1!$M$5:$T$192,8,TRUE))</f>
        <v>3.6432378770676621E-2</v>
      </c>
      <c r="U1307" s="117" t="str">
        <f>IF(VLOOKUP($D1307,Sheet1!$M$5:$U$192,9,TRUE)=0,"",IF(ABS(D1307-VLOOKUP($D1307,Sheet1!$M$5:$U$192,9,TRUE))&lt;10^-10,"Alt.",D1307-VLOOKUP($D1307,Sheet1!$M$5:$U$192,9,TRUE)))</f>
        <v/>
      </c>
      <c r="V1307" s="132">
        <f>$D1307-Sheet1!$M$3*$R1307</f>
        <v>3.1469402890991205E-2</v>
      </c>
      <c r="Z1307" s="6"/>
      <c r="AA1307" s="61"/>
    </row>
    <row r="1308" spans="1:27" ht="13.5">
      <c r="A1308" t="s">
        <v>778</v>
      </c>
      <c r="B1308">
        <v>343</v>
      </c>
      <c r="C1308">
        <v>351</v>
      </c>
      <c r="D1308" s="13">
        <f t="shared" si="27"/>
        <v>39.914944958097891</v>
      </c>
      <c r="E1308" s="61">
        <v>13</v>
      </c>
      <c r="F1308" s="65">
        <v>47.693599867352752</v>
      </c>
      <c r="G1308" s="6">
        <v>731</v>
      </c>
      <c r="H1308" s="6">
        <v>624</v>
      </c>
      <c r="I1308" s="65">
        <v>0.54229142086823501</v>
      </c>
      <c r="J1308" s="6">
        <f>VLOOKUP($D1308,Sheet1!$A$5:$C$192,3,TRUE)</f>
        <v>7</v>
      </c>
      <c r="K1308" s="42" t="str">
        <f>VLOOKUP($D1308,Sheet1!$A$5:$C$192,2,TRUE)</f>
        <v>(|(</v>
      </c>
      <c r="L1308" s="6">
        <f>FLOOR(VLOOKUP($D1308,Sheet1!$D$5:$F$192,3,TRUE),1)</f>
        <v>17</v>
      </c>
      <c r="M1308" s="42" t="str">
        <f>VLOOKUP($D1308,Sheet1!$D$5:$F$192,2,TRUE)</f>
        <v>~|\</v>
      </c>
      <c r="N1308" s="23">
        <f>FLOOR(VLOOKUP($D1308,Sheet1!$G$5:$I$192,3,TRUE),1)</f>
        <v>20</v>
      </c>
      <c r="O1308" s="42" t="str">
        <f>VLOOKUP($D1308,Sheet1!$G$5:$I$192,2,TRUE)</f>
        <v>~|\</v>
      </c>
      <c r="P1308" s="23">
        <v>1</v>
      </c>
      <c r="Q1308" s="43" t="str">
        <f>VLOOKUP($D1308,Sheet1!$J$5:$L$192,2,TRUE)</f>
        <v>~|\</v>
      </c>
      <c r="R1308" s="23">
        <f>FLOOR(VLOOKUP($D1308,Sheet1!$M$5:$O$192,3,TRUE),1)</f>
        <v>82</v>
      </c>
      <c r="S1308" s="42" t="str">
        <f>VLOOKUP($D1308,Sheet1!$M$5:$O$192,2,TRUE)</f>
        <v>~|\</v>
      </c>
      <c r="T1308" s="117">
        <f>IF(ABS(D1308-VLOOKUP($D1308,Sheet1!$M$5:$T$192,8,TRUE))&lt;10^-10,"SoCA",D1308-VLOOKUP($D1308,Sheet1!$M$5:$T$192,8,TRUE))</f>
        <v>-8.9407502642067982E-2</v>
      </c>
      <c r="U1308" s="109" t="str">
        <f>IF(VLOOKUP($D1308,Sheet1!$M$5:$U$192,9,TRUE)=0,"",IF(ABS(D1308-VLOOKUP($D1308,Sheet1!$M$5:$U$192,9,TRUE))&lt;10^-10,"Alt.",D1308-VLOOKUP($D1308,Sheet1!$M$5:$U$192,9,TRUE)))</f>
        <v/>
      </c>
      <c r="V1308" s="132">
        <f>$D1308-Sheet1!$M$3*$R1308</f>
        <v>-9.4370478521753398E-2</v>
      </c>
      <c r="Z1308" s="6"/>
      <c r="AA1308" s="61"/>
    </row>
    <row r="1309" spans="1:27" ht="13.5">
      <c r="A1309" s="6" t="s">
        <v>300</v>
      </c>
      <c r="B1309" s="6">
        <v>43</v>
      </c>
      <c r="C1309" s="6">
        <f>2^2*11</f>
        <v>44</v>
      </c>
      <c r="D1309" s="13">
        <f t="shared" si="27"/>
        <v>39.800236722239255</v>
      </c>
      <c r="E1309" s="61">
        <v>43</v>
      </c>
      <c r="F1309" s="65">
        <v>54.071899407728736</v>
      </c>
      <c r="G1309" s="6">
        <v>141</v>
      </c>
      <c r="H1309" s="6">
        <v>126</v>
      </c>
      <c r="I1309" s="65">
        <v>-2.4506455751450922</v>
      </c>
      <c r="J1309" s="6">
        <f>VLOOKUP($D1309,Sheet1!$A$5:$C$192,3,TRUE)</f>
        <v>7</v>
      </c>
      <c r="K1309" s="42" t="str">
        <f>VLOOKUP($D1309,Sheet1!$A$5:$C$192,2,TRUE)</f>
        <v>(|(</v>
      </c>
      <c r="L1309" s="6">
        <f>FLOOR(VLOOKUP($D1309,Sheet1!$D$5:$F$192,3,TRUE),1)</f>
        <v>17</v>
      </c>
      <c r="M1309" s="42" t="str">
        <f>VLOOKUP($D1309,Sheet1!$D$5:$F$192,2,TRUE)</f>
        <v>~|\</v>
      </c>
      <c r="N1309" s="23">
        <f>FLOOR(VLOOKUP($D1309,Sheet1!$G$5:$I$192,3,TRUE),1)</f>
        <v>20</v>
      </c>
      <c r="O1309" s="42" t="str">
        <f>VLOOKUP($D1309,Sheet1!$G$5:$I$192,2,TRUE)</f>
        <v>~|\</v>
      </c>
      <c r="P1309" s="23">
        <v>1</v>
      </c>
      <c r="Q1309" s="43" t="str">
        <f>VLOOKUP($D1309,Sheet1!$J$5:$L$192,2,TRUE)</f>
        <v>~|\</v>
      </c>
      <c r="R1309" s="23">
        <f>FLOOR(VLOOKUP($D1309,Sheet1!$M$5:$O$192,3,TRUE),1)</f>
        <v>82</v>
      </c>
      <c r="S1309" s="42" t="str">
        <f>VLOOKUP($D1309,Sheet1!$M$5:$O$192,2,TRUE)</f>
        <v>~|\</v>
      </c>
      <c r="T1309" s="117">
        <f>IF(ABS(D1309-VLOOKUP($D1309,Sheet1!$M$5:$T$192,8,TRUE))&lt;10^-10,"SoCA",D1309-VLOOKUP($D1309,Sheet1!$M$5:$T$192,8,TRUE))</f>
        <v>-0.20411573850070397</v>
      </c>
      <c r="U1309" s="109" t="str">
        <f>IF(VLOOKUP($D1309,Sheet1!$M$5:$U$192,9,TRUE)=0,"",IF(ABS(D1309-VLOOKUP($D1309,Sheet1!$M$5:$U$192,9,TRUE))&lt;10^-10,"Alt.",D1309-VLOOKUP($D1309,Sheet1!$M$5:$U$192,9,TRUE)))</f>
        <v/>
      </c>
      <c r="V1309" s="132">
        <f>$D1309-Sheet1!$M$3*$R1309</f>
        <v>-0.20907871438038939</v>
      </c>
      <c r="Z1309" s="6"/>
      <c r="AA1309" s="61"/>
    </row>
    <row r="1310" spans="1:27" ht="13.5">
      <c r="A1310" t="s">
        <v>562</v>
      </c>
      <c r="B1310">
        <v>71680</v>
      </c>
      <c r="C1310">
        <v>73359</v>
      </c>
      <c r="D1310" s="13">
        <f t="shared" si="27"/>
        <v>40.08400252857237</v>
      </c>
      <c r="E1310" s="61">
        <v>19</v>
      </c>
      <c r="F1310" s="65">
        <v>66.105485720402612</v>
      </c>
      <c r="G1310" s="6">
        <v>473</v>
      </c>
      <c r="H1310" s="6">
        <v>406</v>
      </c>
      <c r="I1310" s="65">
        <v>0.53188193034385955</v>
      </c>
      <c r="J1310" s="6">
        <f>VLOOKUP($D1310,Sheet1!$A$5:$C$192,3,TRUE)</f>
        <v>7</v>
      </c>
      <c r="K1310" s="42" t="str">
        <f>VLOOKUP($D1310,Sheet1!$A$5:$C$192,2,TRUE)</f>
        <v>(|(</v>
      </c>
      <c r="L1310" s="6">
        <f>FLOOR(VLOOKUP($D1310,Sheet1!$D$5:$F$192,3,TRUE),1)</f>
        <v>17</v>
      </c>
      <c r="M1310" s="42" t="str">
        <f>VLOOKUP($D1310,Sheet1!$D$5:$F$192,2,TRUE)</f>
        <v>~|\</v>
      </c>
      <c r="N1310" s="23">
        <f>FLOOR(VLOOKUP($D1310,Sheet1!$G$5:$I$192,3,TRUE),1)</f>
        <v>20</v>
      </c>
      <c r="O1310" s="42" t="str">
        <f>VLOOKUP($D1310,Sheet1!$G$5:$I$192,2,TRUE)</f>
        <v>~|\</v>
      </c>
      <c r="P1310" s="23">
        <v>1</v>
      </c>
      <c r="Q1310" s="43" t="str">
        <f>VLOOKUP($D1310,Sheet1!$J$5:$L$192,2,TRUE)</f>
        <v>~|\</v>
      </c>
      <c r="R1310" s="23">
        <f>FLOOR(VLOOKUP($D1310,Sheet1!$M$5:$O$192,3,TRUE),1)</f>
        <v>82</v>
      </c>
      <c r="S1310" s="42" t="str">
        <f>VLOOKUP($D1310,Sheet1!$M$5:$O$192,2,TRUE)</f>
        <v>~|\</v>
      </c>
      <c r="T1310" s="117">
        <f>IF(ABS(D1310-VLOOKUP($D1310,Sheet1!$M$5:$T$192,8,TRUE))&lt;10^-10,"SoCA",D1310-VLOOKUP($D1310,Sheet1!$M$5:$T$192,8,TRUE))</f>
        <v>7.9650067832410798E-2</v>
      </c>
      <c r="U1310" s="109" t="str">
        <f>IF(VLOOKUP($D1310,Sheet1!$M$5:$U$192,9,TRUE)=0,"",IF(ABS(D1310-VLOOKUP($D1310,Sheet1!$M$5:$U$192,9,TRUE))&lt;10^-10,"Alt.",D1310-VLOOKUP($D1310,Sheet1!$M$5:$U$192,9,TRUE)))</f>
        <v/>
      </c>
      <c r="V1310" s="132">
        <f>$D1310-Sheet1!$M$3*$R1310</f>
        <v>7.4687091952725382E-2</v>
      </c>
      <c r="Z1310" s="6"/>
      <c r="AA1310" s="61"/>
    </row>
    <row r="1311" spans="1:27" ht="13.5">
      <c r="A1311" t="s">
        <v>1466</v>
      </c>
      <c r="B1311">
        <v>128061</v>
      </c>
      <c r="C1311">
        <v>131072</v>
      </c>
      <c r="D1311" s="13">
        <f t="shared" si="27"/>
        <v>40.234013708405485</v>
      </c>
      <c r="E1311" s="61">
        <v>31</v>
      </c>
      <c r="F1311" s="65">
        <v>69.471326012652199</v>
      </c>
      <c r="G1311" s="6">
        <v>1378</v>
      </c>
      <c r="H1311" s="6">
        <v>1315</v>
      </c>
      <c r="I1311" s="65">
        <v>-7.4773548045189484</v>
      </c>
      <c r="J1311" s="6">
        <f>VLOOKUP($D1311,Sheet1!$A$5:$C$192,3,TRUE)</f>
        <v>7</v>
      </c>
      <c r="K1311" s="42" t="str">
        <f>VLOOKUP($D1311,Sheet1!$A$5:$C$192,2,TRUE)</f>
        <v>(|(</v>
      </c>
      <c r="L1311" s="6">
        <f>FLOOR(VLOOKUP($D1311,Sheet1!$D$5:$F$192,3,TRUE),1)</f>
        <v>17</v>
      </c>
      <c r="M1311" s="42" t="str">
        <f>VLOOKUP($D1311,Sheet1!$D$5:$F$192,2,TRUE)</f>
        <v>~|\</v>
      </c>
      <c r="N1311" s="23">
        <f>FLOOR(VLOOKUP($D1311,Sheet1!$G$5:$I$192,3,TRUE),1)</f>
        <v>20</v>
      </c>
      <c r="O1311" s="42" t="str">
        <f>VLOOKUP($D1311,Sheet1!$G$5:$I$192,2,TRUE)</f>
        <v>~|\</v>
      </c>
      <c r="P1311" s="23">
        <v>1</v>
      </c>
      <c r="Q1311" s="43" t="str">
        <f>VLOOKUP($D1311,Sheet1!$J$5:$L$192,2,TRUE)</f>
        <v>~|\</v>
      </c>
      <c r="R1311" s="23">
        <f>FLOOR(VLOOKUP($D1311,Sheet1!$M$5:$O$192,3,TRUE),1)</f>
        <v>82</v>
      </c>
      <c r="S1311" s="42" t="str">
        <f>VLOOKUP($D1311,Sheet1!$M$5:$O$192,2,TRUE)</f>
        <v>~|\</v>
      </c>
      <c r="T1311" s="117">
        <f>IF(ABS(D1311-VLOOKUP($D1311,Sheet1!$M$5:$T$192,8,TRUE))&lt;10^-10,"SoCA",D1311-VLOOKUP($D1311,Sheet1!$M$5:$T$192,8,TRUE))</f>
        <v>0.22966124766552554</v>
      </c>
      <c r="U1311" s="109" t="str">
        <f>IF(VLOOKUP($D1311,Sheet1!$M$5:$U$192,9,TRUE)=0,"",IF(ABS(D1311-VLOOKUP($D1311,Sheet1!$M$5:$U$192,9,TRUE))&lt;10^-10,"Alt.",D1311-VLOOKUP($D1311,Sheet1!$M$5:$U$192,9,TRUE)))</f>
        <v/>
      </c>
      <c r="V1311" s="132">
        <f>$D1311-Sheet1!$M$3*$R1311</f>
        <v>0.22469827178584012</v>
      </c>
      <c r="Z1311" s="6"/>
      <c r="AA1311" s="61"/>
    </row>
    <row r="1312" spans="1:27" ht="13.5">
      <c r="A1312" t="s">
        <v>981</v>
      </c>
      <c r="B1312">
        <v>7360</v>
      </c>
      <c r="C1312">
        <v>7533</v>
      </c>
      <c r="D1312" s="13">
        <f t="shared" si="27"/>
        <v>40.222515657937066</v>
      </c>
      <c r="E1312" s="61">
        <v>31</v>
      </c>
      <c r="F1312" s="65">
        <v>71.228633955055258</v>
      </c>
      <c r="G1312" s="6">
        <v>894</v>
      </c>
      <c r="H1312" s="6">
        <v>829</v>
      </c>
      <c r="I1312" s="65">
        <v>2.5233531723380707</v>
      </c>
      <c r="J1312" s="6">
        <f>VLOOKUP($D1312,Sheet1!$A$5:$C$192,3,TRUE)</f>
        <v>7</v>
      </c>
      <c r="K1312" s="42" t="str">
        <f>VLOOKUP($D1312,Sheet1!$A$5:$C$192,2,TRUE)</f>
        <v>(|(</v>
      </c>
      <c r="L1312" s="6">
        <f>FLOOR(VLOOKUP($D1312,Sheet1!$D$5:$F$192,3,TRUE),1)</f>
        <v>17</v>
      </c>
      <c r="M1312" s="42" t="str">
        <f>VLOOKUP($D1312,Sheet1!$D$5:$F$192,2,TRUE)</f>
        <v>~|\</v>
      </c>
      <c r="N1312" s="23">
        <f>FLOOR(VLOOKUP($D1312,Sheet1!$G$5:$I$192,3,TRUE),1)</f>
        <v>20</v>
      </c>
      <c r="O1312" s="42" t="str">
        <f>VLOOKUP($D1312,Sheet1!$G$5:$I$192,2,TRUE)</f>
        <v>~|\</v>
      </c>
      <c r="P1312" s="23">
        <v>1</v>
      </c>
      <c r="Q1312" s="43" t="str">
        <f>VLOOKUP($D1312,Sheet1!$J$5:$L$192,2,TRUE)</f>
        <v>~|\</v>
      </c>
      <c r="R1312" s="23">
        <f>FLOOR(VLOOKUP($D1312,Sheet1!$M$5:$O$192,3,TRUE),1)</f>
        <v>82</v>
      </c>
      <c r="S1312" s="42" t="str">
        <f>VLOOKUP($D1312,Sheet1!$M$5:$O$192,2,TRUE)</f>
        <v>~|\</v>
      </c>
      <c r="T1312" s="117">
        <f>IF(ABS(D1312-VLOOKUP($D1312,Sheet1!$M$5:$T$192,8,TRUE))&lt;10^-10,"SoCA",D1312-VLOOKUP($D1312,Sheet1!$M$5:$T$192,8,TRUE))</f>
        <v>0.21816319719710719</v>
      </c>
      <c r="U1312" s="109" t="str">
        <f>IF(VLOOKUP($D1312,Sheet1!$M$5:$U$192,9,TRUE)=0,"",IF(ABS(D1312-VLOOKUP($D1312,Sheet1!$M$5:$U$192,9,TRUE))&lt;10^-10,"Alt.",D1312-VLOOKUP($D1312,Sheet1!$M$5:$U$192,9,TRUE)))</f>
        <v/>
      </c>
      <c r="V1312" s="132">
        <f>$D1312-Sheet1!$M$3*$R1312</f>
        <v>0.21320022131742178</v>
      </c>
      <c r="Z1312" s="6"/>
      <c r="AA1312" s="61"/>
    </row>
    <row r="1313" spans="1:27" ht="13.5">
      <c r="A1313" t="s">
        <v>1559</v>
      </c>
      <c r="B1313">
        <v>91125</v>
      </c>
      <c r="C1313">
        <v>93248</v>
      </c>
      <c r="D1313" s="13">
        <f t="shared" si="27"/>
        <v>39.871047690586032</v>
      </c>
      <c r="E1313" s="61">
        <v>47</v>
      </c>
      <c r="F1313" s="65">
        <v>116.81906313708809</v>
      </c>
      <c r="G1313" s="6">
        <v>1465</v>
      </c>
      <c r="H1313" s="6">
        <v>1408</v>
      </c>
      <c r="I1313" s="65">
        <v>-8.4550056644446059</v>
      </c>
      <c r="J1313" s="6">
        <f>VLOOKUP($D1313,Sheet1!$A$5:$C$192,3,TRUE)</f>
        <v>7</v>
      </c>
      <c r="K1313" s="42" t="str">
        <f>VLOOKUP($D1313,Sheet1!$A$5:$C$192,2,TRUE)</f>
        <v>(|(</v>
      </c>
      <c r="L1313" s="6">
        <f>FLOOR(VLOOKUP($D1313,Sheet1!$D$5:$F$192,3,TRUE),1)</f>
        <v>17</v>
      </c>
      <c r="M1313" s="42" t="str">
        <f>VLOOKUP($D1313,Sheet1!$D$5:$F$192,2,TRUE)</f>
        <v>~|\</v>
      </c>
      <c r="N1313" s="23">
        <f>FLOOR(VLOOKUP($D1313,Sheet1!$G$5:$I$192,3,TRUE),1)</f>
        <v>20</v>
      </c>
      <c r="O1313" s="42" t="str">
        <f>VLOOKUP($D1313,Sheet1!$G$5:$I$192,2,TRUE)</f>
        <v>~|\</v>
      </c>
      <c r="P1313" s="23">
        <v>1</v>
      </c>
      <c r="Q1313" s="43" t="str">
        <f>VLOOKUP($D1313,Sheet1!$J$5:$L$192,2,TRUE)</f>
        <v>~|\</v>
      </c>
      <c r="R1313" s="23">
        <f>FLOOR(VLOOKUP($D1313,Sheet1!$M$5:$O$192,3,TRUE),1)</f>
        <v>82</v>
      </c>
      <c r="S1313" s="42" t="str">
        <f>VLOOKUP($D1313,Sheet1!$M$5:$O$192,2,TRUE)</f>
        <v>~|\</v>
      </c>
      <c r="T1313" s="117">
        <f>IF(ABS(D1313-VLOOKUP($D1313,Sheet1!$M$5:$T$192,8,TRUE))&lt;10^-10,"SoCA",D1313-VLOOKUP($D1313,Sheet1!$M$5:$T$192,8,TRUE))</f>
        <v>-0.13330477015392717</v>
      </c>
      <c r="U1313" s="109" t="str">
        <f>IF(VLOOKUP($D1313,Sheet1!$M$5:$U$192,9,TRUE)=0,"",IF(ABS(D1313-VLOOKUP($D1313,Sheet1!$M$5:$U$192,9,TRUE))&lt;10^-10,"Alt.",D1313-VLOOKUP($D1313,Sheet1!$M$5:$U$192,9,TRUE)))</f>
        <v/>
      </c>
      <c r="V1313" s="132">
        <f>$D1313-Sheet1!$M$3*$R1313</f>
        <v>-0.13826774603361258</v>
      </c>
      <c r="Z1313" s="6"/>
      <c r="AA1313" s="61"/>
    </row>
    <row r="1314" spans="1:27" ht="13.5">
      <c r="A1314" t="s">
        <v>1366</v>
      </c>
      <c r="B1314">
        <v>4941</v>
      </c>
      <c r="C1314">
        <v>5056</v>
      </c>
      <c r="D1314" s="13">
        <f t="shared" si="27"/>
        <v>39.83208927551042</v>
      </c>
      <c r="E1314" s="61" t="s">
        <v>1931</v>
      </c>
      <c r="F1314" s="65">
        <v>141.41793643880899</v>
      </c>
      <c r="G1314" s="6">
        <v>1280</v>
      </c>
      <c r="H1314" s="6">
        <v>1215</v>
      </c>
      <c r="I1314" s="65">
        <v>-6.4526068528951672</v>
      </c>
      <c r="J1314" s="6">
        <f>VLOOKUP($D1314,Sheet1!$A$5:$C$192,3,TRUE)</f>
        <v>7</v>
      </c>
      <c r="K1314" s="42" t="str">
        <f>VLOOKUP($D1314,Sheet1!$A$5:$C$192,2,TRUE)</f>
        <v>(|(</v>
      </c>
      <c r="L1314" s="6">
        <f>FLOOR(VLOOKUP($D1314,Sheet1!$D$5:$F$192,3,TRUE),1)</f>
        <v>17</v>
      </c>
      <c r="M1314" s="42" t="str">
        <f>VLOOKUP($D1314,Sheet1!$D$5:$F$192,2,TRUE)</f>
        <v>~|\</v>
      </c>
      <c r="N1314" s="23">
        <f>FLOOR(VLOOKUP($D1314,Sheet1!$G$5:$I$192,3,TRUE),1)</f>
        <v>20</v>
      </c>
      <c r="O1314" s="42" t="str">
        <f>VLOOKUP($D1314,Sheet1!$G$5:$I$192,2,TRUE)</f>
        <v>~|\</v>
      </c>
      <c r="P1314" s="23">
        <v>1</v>
      </c>
      <c r="Q1314" s="43" t="str">
        <f>VLOOKUP($D1314,Sheet1!$J$5:$L$192,2,TRUE)</f>
        <v>~|\</v>
      </c>
      <c r="R1314" s="23">
        <f>FLOOR(VLOOKUP($D1314,Sheet1!$M$5:$O$192,3,TRUE),1)</f>
        <v>82</v>
      </c>
      <c r="S1314" s="42" t="str">
        <f>VLOOKUP($D1314,Sheet1!$M$5:$O$192,2,TRUE)</f>
        <v>~|\</v>
      </c>
      <c r="T1314" s="117">
        <f>IF(ABS(D1314-VLOOKUP($D1314,Sheet1!$M$5:$T$192,8,TRUE))&lt;10^-10,"SoCA",D1314-VLOOKUP($D1314,Sheet1!$M$5:$T$192,8,TRUE))</f>
        <v>-0.17226318522953932</v>
      </c>
      <c r="U1314" s="109" t="str">
        <f>IF(VLOOKUP($D1314,Sheet1!$M$5:$U$192,9,TRUE)=0,"",IF(ABS(D1314-VLOOKUP($D1314,Sheet1!$M$5:$U$192,9,TRUE))&lt;10^-10,"Alt.",D1314-VLOOKUP($D1314,Sheet1!$M$5:$U$192,9,TRUE)))</f>
        <v/>
      </c>
      <c r="V1314" s="132">
        <f>$D1314-Sheet1!$M$3*$R1314</f>
        <v>-0.17722616110922473</v>
      </c>
      <c r="Z1314" s="6"/>
      <c r="AA1314" s="61"/>
    </row>
    <row r="1315" spans="1:27" ht="13.5">
      <c r="A1315" t="s">
        <v>1364</v>
      </c>
      <c r="B1315">
        <v>6750208</v>
      </c>
      <c r="C1315">
        <v>6908733</v>
      </c>
      <c r="D1315" s="13">
        <f t="shared" si="27"/>
        <v>40.187039534097444</v>
      </c>
      <c r="E1315" s="61" t="s">
        <v>1931</v>
      </c>
      <c r="F1315" s="65">
        <v>179.68590268147071</v>
      </c>
      <c r="G1315" s="6">
        <v>881</v>
      </c>
      <c r="H1315" s="6">
        <v>1213</v>
      </c>
      <c r="I1315" s="65">
        <v>9.5255375665294331</v>
      </c>
      <c r="J1315" s="6">
        <f>VLOOKUP($D1315,Sheet1!$A$5:$C$192,3,TRUE)</f>
        <v>7</v>
      </c>
      <c r="K1315" s="42" t="str">
        <f>VLOOKUP($D1315,Sheet1!$A$5:$C$192,2,TRUE)</f>
        <v>(|(</v>
      </c>
      <c r="L1315" s="6">
        <f>FLOOR(VLOOKUP($D1315,Sheet1!$D$5:$F$192,3,TRUE),1)</f>
        <v>17</v>
      </c>
      <c r="M1315" s="42" t="str">
        <f>VLOOKUP($D1315,Sheet1!$D$5:$F$192,2,TRUE)</f>
        <v>~|\</v>
      </c>
      <c r="N1315" s="23">
        <f>FLOOR(VLOOKUP($D1315,Sheet1!$G$5:$I$192,3,TRUE),1)</f>
        <v>20</v>
      </c>
      <c r="O1315" s="42" t="str">
        <f>VLOOKUP($D1315,Sheet1!$G$5:$I$192,2,TRUE)</f>
        <v>~|\</v>
      </c>
      <c r="P1315" s="23">
        <v>1</v>
      </c>
      <c r="Q1315" s="43" t="str">
        <f>VLOOKUP($D1315,Sheet1!$J$5:$L$192,2,TRUE)</f>
        <v>~|\</v>
      </c>
      <c r="R1315" s="23">
        <f>FLOOR(VLOOKUP($D1315,Sheet1!$M$5:$O$192,3,TRUE),1)</f>
        <v>82</v>
      </c>
      <c r="S1315" s="42" t="str">
        <f>VLOOKUP($D1315,Sheet1!$M$5:$O$192,2,TRUE)</f>
        <v>~|\</v>
      </c>
      <c r="T1315" s="117">
        <f>IF(ABS(D1315-VLOOKUP($D1315,Sheet1!$M$5:$T$192,8,TRUE))&lt;10^-10,"SoCA",D1315-VLOOKUP($D1315,Sheet1!$M$5:$T$192,8,TRUE))</f>
        <v>0.18268707335748502</v>
      </c>
      <c r="U1315" s="109" t="str">
        <f>IF(VLOOKUP($D1315,Sheet1!$M$5:$U$192,9,TRUE)=0,"",IF(ABS(D1315-VLOOKUP($D1315,Sheet1!$M$5:$U$192,9,TRUE))&lt;10^-10,"Alt.",D1315-VLOOKUP($D1315,Sheet1!$M$5:$U$192,9,TRUE)))</f>
        <v/>
      </c>
      <c r="V1315" s="132">
        <f>$D1315-Sheet1!$M$3*$R1315</f>
        <v>0.1777240974777996</v>
      </c>
      <c r="Z1315" s="6"/>
      <c r="AA1315" s="61"/>
    </row>
    <row r="1316" spans="1:27" ht="13.5">
      <c r="A1316" t="s">
        <v>1075</v>
      </c>
      <c r="B1316">
        <v>1875</v>
      </c>
      <c r="C1316">
        <v>1919</v>
      </c>
      <c r="D1316" s="13">
        <f t="shared" si="27"/>
        <v>40.156939109729727</v>
      </c>
      <c r="E1316" s="61" t="s">
        <v>1931</v>
      </c>
      <c r="F1316" s="65">
        <v>196.17933431881099</v>
      </c>
      <c r="G1316" s="6">
        <v>991</v>
      </c>
      <c r="H1316" s="6">
        <v>924</v>
      </c>
      <c r="I1316" s="65">
        <v>-3.4726090406804313</v>
      </c>
      <c r="J1316" s="6">
        <f>VLOOKUP($D1316,Sheet1!$A$5:$C$192,3,TRUE)</f>
        <v>7</v>
      </c>
      <c r="K1316" s="42" t="str">
        <f>VLOOKUP($D1316,Sheet1!$A$5:$C$192,2,TRUE)</f>
        <v>(|(</v>
      </c>
      <c r="L1316" s="6">
        <f>FLOOR(VLOOKUP($D1316,Sheet1!$D$5:$F$192,3,TRUE),1)</f>
        <v>17</v>
      </c>
      <c r="M1316" s="42" t="str">
        <f>VLOOKUP($D1316,Sheet1!$D$5:$F$192,2,TRUE)</f>
        <v>~|\</v>
      </c>
      <c r="N1316" s="23">
        <f>FLOOR(VLOOKUP($D1316,Sheet1!$G$5:$I$192,3,TRUE),1)</f>
        <v>20</v>
      </c>
      <c r="O1316" s="42" t="str">
        <f>VLOOKUP($D1316,Sheet1!$G$5:$I$192,2,TRUE)</f>
        <v>~|\</v>
      </c>
      <c r="P1316" s="23">
        <v>1</v>
      </c>
      <c r="Q1316" s="43" t="str">
        <f>VLOOKUP($D1316,Sheet1!$J$5:$L$192,2,TRUE)</f>
        <v>~|\</v>
      </c>
      <c r="R1316" s="23">
        <f>FLOOR(VLOOKUP($D1316,Sheet1!$M$5:$O$192,3,TRUE),1)</f>
        <v>82</v>
      </c>
      <c r="S1316" s="42" t="str">
        <f>VLOOKUP($D1316,Sheet1!$M$5:$O$192,2,TRUE)</f>
        <v>~|\</v>
      </c>
      <c r="T1316" s="117">
        <f>IF(ABS(D1316-VLOOKUP($D1316,Sheet1!$M$5:$T$192,8,TRUE))&lt;10^-10,"SoCA",D1316-VLOOKUP($D1316,Sheet1!$M$5:$T$192,8,TRUE))</f>
        <v>0.15258664898976804</v>
      </c>
      <c r="U1316" s="109" t="str">
        <f>IF(VLOOKUP($D1316,Sheet1!$M$5:$U$192,9,TRUE)=0,"",IF(ABS(D1316-VLOOKUP($D1316,Sheet1!$M$5:$U$192,9,TRUE))&lt;10^-10,"Alt.",D1316-VLOOKUP($D1316,Sheet1!$M$5:$U$192,9,TRUE)))</f>
        <v/>
      </c>
      <c r="V1316" s="132">
        <f>$D1316-Sheet1!$M$3*$R1316</f>
        <v>0.14762367311008262</v>
      </c>
      <c r="Z1316" s="6"/>
      <c r="AA1316" s="61"/>
    </row>
    <row r="1317" spans="1:27" ht="13.5">
      <c r="A1317" s="38" t="s">
        <v>560</v>
      </c>
      <c r="B1317" s="38">
        <f>2^5*5^2</f>
        <v>800</v>
      </c>
      <c r="C1317" s="38">
        <f>3^2*7*13</f>
        <v>819</v>
      </c>
      <c r="D1317" s="13">
        <f t="shared" si="27"/>
        <v>40.636142239540618</v>
      </c>
      <c r="E1317" s="61">
        <v>13</v>
      </c>
      <c r="F1317" s="65">
        <v>30.051849229030278</v>
      </c>
      <c r="G1317" s="6">
        <v>470</v>
      </c>
      <c r="H1317" s="6">
        <v>404</v>
      </c>
      <c r="I1317" s="65">
        <v>-0.50211532321494001</v>
      </c>
      <c r="J1317" s="6">
        <f>VLOOKUP($D1317,Sheet1!$A$5:$C$192,3,TRUE)</f>
        <v>8</v>
      </c>
      <c r="K1317" s="42" t="str">
        <f>VLOOKUP($D1317,Sheet1!$A$5:$C$192,2,TRUE)</f>
        <v>//|</v>
      </c>
      <c r="L1317" s="6">
        <f>FLOOR(VLOOKUP($D1317,Sheet1!$D$5:$F$192,3,TRUE),1)</f>
        <v>17</v>
      </c>
      <c r="M1317" s="42" t="str">
        <f>VLOOKUP($D1317,Sheet1!$D$5:$F$192,2,TRUE)</f>
        <v>~|\</v>
      </c>
      <c r="N1317" s="23">
        <f>FLOOR(VLOOKUP($D1317,Sheet1!$G$5:$I$192,3,TRUE),1)</f>
        <v>21</v>
      </c>
      <c r="O1317" s="42" t="str">
        <f>VLOOKUP($D1317,Sheet1!$G$5:$I$192,2,TRUE)</f>
        <v>.//|</v>
      </c>
      <c r="P1317" s="23">
        <v>1</v>
      </c>
      <c r="Q1317" s="45" t="str">
        <f>VLOOKUP($D1317,Sheet1!$J$5:$L$192,2,TRUE)</f>
        <v>.//|.</v>
      </c>
      <c r="R1317" s="38">
        <f>FLOOR(VLOOKUP($D1317,Sheet1!$M$5:$O$192,3,TRUE),1)</f>
        <v>83</v>
      </c>
      <c r="S1317" s="45" t="str">
        <f>VLOOKUP($D1317,Sheet1!$M$5:$O$192,2,TRUE)</f>
        <v>.//|.</v>
      </c>
      <c r="T1317" s="112" t="str">
        <f>IF(ABS(D1317-VLOOKUP($D1317,Sheet1!$M$5:$T$192,8,TRUE))&lt;10^-10,"SoCA",D1317-VLOOKUP($D1317,Sheet1!$M$5:$T$192,8,TRUE))</f>
        <v>SoCA</v>
      </c>
      <c r="U1317" s="108">
        <f>IF(VLOOKUP($D1317,Sheet1!$M$5:$U$192,9,TRUE)=0,"",IF(ABS(D1317-VLOOKUP($D1317,Sheet1!$M$5:$U$192,9,TRUE))&lt;10^-10,"Alt.",D1317-VLOOKUP($D1317,Sheet1!$M$5:$U$192,9,TRUE)))</f>
        <v>-2.6960295202520967E-2</v>
      </c>
      <c r="V1317" s="133">
        <f>$D1317-Sheet1!$M$3*$R1317</f>
        <v>0.13890832198658387</v>
      </c>
      <c r="Z1317" s="6"/>
      <c r="AA1317" s="61"/>
    </row>
    <row r="1318" spans="1:27" ht="13.5">
      <c r="A1318" s="52" t="s">
        <v>160</v>
      </c>
      <c r="B1318" s="52">
        <f>3^3*11</f>
        <v>297</v>
      </c>
      <c r="C1318" s="55">
        <f>2^4*19</f>
        <v>304</v>
      </c>
      <c r="D1318" s="13">
        <f t="shared" si="27"/>
        <v>40.330071171383636</v>
      </c>
      <c r="E1318" s="61">
        <v>19</v>
      </c>
      <c r="F1318" s="65">
        <v>30.504804760332664</v>
      </c>
      <c r="G1318" s="6">
        <v>112</v>
      </c>
      <c r="H1318" s="6">
        <v>105</v>
      </c>
      <c r="I1318" s="65">
        <v>-5.4832694124709036</v>
      </c>
      <c r="J1318" s="6">
        <f>VLOOKUP($D1318,Sheet1!$A$5:$C$192,3,TRUE)</f>
        <v>8</v>
      </c>
      <c r="K1318" s="42" t="str">
        <f>VLOOKUP($D1318,Sheet1!$A$5:$C$192,2,TRUE)</f>
        <v>//|</v>
      </c>
      <c r="L1318" s="6">
        <f>FLOOR(VLOOKUP($D1318,Sheet1!$D$5:$F$192,3,TRUE),1)</f>
        <v>17</v>
      </c>
      <c r="M1318" s="42" t="str">
        <f>VLOOKUP($D1318,Sheet1!$D$5:$F$192,2,TRUE)</f>
        <v>~|\</v>
      </c>
      <c r="N1318" s="23">
        <f>FLOOR(VLOOKUP($D1318,Sheet1!$G$5:$I$192,3,TRUE),1)</f>
        <v>21</v>
      </c>
      <c r="O1318" s="42" t="str">
        <f>VLOOKUP($D1318,Sheet1!$G$5:$I$192,2,TRUE)</f>
        <v>.//|</v>
      </c>
      <c r="P1318" s="23">
        <v>1</v>
      </c>
      <c r="Q1318" s="43" t="str">
        <f>VLOOKUP($D1318,Sheet1!$J$5:$L$192,2,TRUE)</f>
        <v>.//|.</v>
      </c>
      <c r="R1318" s="40">
        <f>FLOOR(VLOOKUP($D1318,Sheet1!$M$5:$O$192,3,TRUE),1)</f>
        <v>83</v>
      </c>
      <c r="S1318" s="46" t="str">
        <f>VLOOKUP($D1318,Sheet1!$M$5:$O$192,2,TRUE)</f>
        <v>'(|(.</v>
      </c>
      <c r="T1318" s="115">
        <f>IF(ABS(D1318-VLOOKUP($D1318,Sheet1!$M$5:$T$192,8,TRUE))&lt;10^-10,"SoCA",D1318-VLOOKUP($D1318,Sheet1!$M$5:$T$192,8,TRUE))</f>
        <v>-0.10670668144861395</v>
      </c>
      <c r="U1318" s="115">
        <f>IF(VLOOKUP($D1318,Sheet1!$M$5:$U$192,9,TRUE)=0,"",IF(ABS(D1318-VLOOKUP($D1318,Sheet1!$M$5:$U$192,9,TRUE))&lt;10^-10,"Alt.",D1318-VLOOKUP($D1318,Sheet1!$M$5:$U$192,9,TRUE)))</f>
        <v>-0.13366697665104965</v>
      </c>
      <c r="V1318" s="132">
        <f>$D1318-Sheet1!$M$3*$R1318</f>
        <v>-0.16716274617039772</v>
      </c>
      <c r="Z1318" s="6"/>
      <c r="AA1318" s="61"/>
    </row>
    <row r="1319" spans="1:27" ht="13.5">
      <c r="A1319" s="14" t="s">
        <v>604</v>
      </c>
      <c r="B1319" s="14">
        <f>2^8*17</f>
        <v>4352</v>
      </c>
      <c r="C1319" s="14">
        <f>3^4*5*11</f>
        <v>4455</v>
      </c>
      <c r="D1319" s="13">
        <f t="shared" si="27"/>
        <v>40.496250190733932</v>
      </c>
      <c r="E1319" s="61">
        <v>17</v>
      </c>
      <c r="F1319" s="65">
        <v>39.785027221469399</v>
      </c>
      <c r="G1319" s="6">
        <v>495</v>
      </c>
      <c r="H1319" s="6">
        <v>449</v>
      </c>
      <c r="I1319" s="65">
        <v>1.506498339884569</v>
      </c>
      <c r="J1319" s="6">
        <f>VLOOKUP($D1319,Sheet1!$A$5:$C$192,3,TRUE)</f>
        <v>8</v>
      </c>
      <c r="K1319" s="42" t="str">
        <f>VLOOKUP($D1319,Sheet1!$A$5:$C$192,2,TRUE)</f>
        <v>//|</v>
      </c>
      <c r="L1319" s="6">
        <f>FLOOR(VLOOKUP($D1319,Sheet1!$D$5:$F$192,3,TRUE),1)</f>
        <v>17</v>
      </c>
      <c r="M1319" s="42" t="str">
        <f>VLOOKUP($D1319,Sheet1!$D$5:$F$192,2,TRUE)</f>
        <v>~|\</v>
      </c>
      <c r="N1319" s="23">
        <f>FLOOR(VLOOKUP($D1319,Sheet1!$G$5:$I$192,3,TRUE),1)</f>
        <v>21</v>
      </c>
      <c r="O1319" s="42" t="str">
        <f>VLOOKUP($D1319,Sheet1!$G$5:$I$192,2,TRUE)</f>
        <v>.//|</v>
      </c>
      <c r="P1319" s="23">
        <v>1</v>
      </c>
      <c r="Q1319" s="43" t="str">
        <f>VLOOKUP($D1319,Sheet1!$J$5:$L$192,2,TRUE)</f>
        <v>.//|.</v>
      </c>
      <c r="R1319" s="23">
        <f>FLOOR(VLOOKUP($D1319,Sheet1!$M$5:$O$192,3,TRUE),1)</f>
        <v>83</v>
      </c>
      <c r="S1319" s="42" t="str">
        <f>VLOOKUP($D1319,Sheet1!$M$5:$O$192,2,TRUE)</f>
        <v>.//|.</v>
      </c>
      <c r="T1319" s="117">
        <f>IF(ABS(D1319-VLOOKUP($D1319,Sheet1!$M$5:$T$192,8,TRUE))&lt;10^-10,"SoCA",D1319-VLOOKUP($D1319,Sheet1!$M$5:$T$192,8,TRUE))</f>
        <v>-0.13989204880677164</v>
      </c>
      <c r="U1319" s="109">
        <f>IF(VLOOKUP($D1319,Sheet1!$M$5:$U$192,9,TRUE)=0,"",IF(ABS(D1319-VLOOKUP($D1319,Sheet1!$M$5:$U$192,9,TRUE))&lt;10^-10,"Alt.",D1319-VLOOKUP($D1319,Sheet1!$M$5:$U$192,9,TRUE)))</f>
        <v>-0.16685234400920734</v>
      </c>
      <c r="V1319" s="132">
        <f>$D1319-Sheet1!$M$3*$R1319</f>
        <v>-9.8372682010250401E-4</v>
      </c>
      <c r="Z1319" s="6"/>
      <c r="AA1319" s="61"/>
    </row>
    <row r="1320" spans="1:27" ht="13.5">
      <c r="A1320" s="6" t="s">
        <v>530</v>
      </c>
      <c r="B1320" s="6">
        <f>3^6*7^3</f>
        <v>250047</v>
      </c>
      <c r="C1320" s="6">
        <f>2^11*5^3</f>
        <v>256000</v>
      </c>
      <c r="D1320" s="13">
        <f t="shared" si="27"/>
        <v>40.733416994805232</v>
      </c>
      <c r="E1320" s="61">
        <v>7</v>
      </c>
      <c r="F1320" s="65">
        <v>40.301119643795523</v>
      </c>
      <c r="G1320" s="6">
        <v>339</v>
      </c>
      <c r="H1320" s="6">
        <v>373</v>
      </c>
      <c r="I1320" s="65">
        <v>-8.5081048842878104</v>
      </c>
      <c r="J1320" s="6">
        <f>VLOOKUP($D1320,Sheet1!$A$5:$C$192,3,TRUE)</f>
        <v>8</v>
      </c>
      <c r="K1320" s="42" t="str">
        <f>VLOOKUP($D1320,Sheet1!$A$5:$C$192,2,TRUE)</f>
        <v>//|</v>
      </c>
      <c r="L1320" s="6">
        <f>FLOOR(VLOOKUP($D1320,Sheet1!$D$5:$F$192,3,TRUE),1)</f>
        <v>17</v>
      </c>
      <c r="M1320" s="42" t="str">
        <f>VLOOKUP($D1320,Sheet1!$D$5:$F$192,2,TRUE)</f>
        <v>~|\</v>
      </c>
      <c r="N1320" s="23">
        <f>FLOOR(VLOOKUP($D1320,Sheet1!$G$5:$I$192,3,TRUE),1)</f>
        <v>21</v>
      </c>
      <c r="O1320" s="42" t="str">
        <f>VLOOKUP($D1320,Sheet1!$G$5:$I$192,2,TRUE)</f>
        <v>.//|</v>
      </c>
      <c r="P1320" s="23">
        <v>1</v>
      </c>
      <c r="Q1320" s="43" t="str">
        <f>VLOOKUP($D1320,Sheet1!$J$5:$L$192,2,TRUE)</f>
        <v>.//|.</v>
      </c>
      <c r="R1320" s="23">
        <f>FLOOR(VLOOKUP($D1320,Sheet1!$M$5:$O$192,3,TRUE),1)</f>
        <v>83</v>
      </c>
      <c r="S1320" s="42" t="str">
        <f>VLOOKUP($D1320,Sheet1!$M$5:$O$192,2,TRUE)</f>
        <v>.//|.</v>
      </c>
      <c r="T1320" s="117">
        <f>IF(ABS(D1320-VLOOKUP($D1320,Sheet1!$M$5:$T$192,8,TRUE))&lt;10^-10,"SoCA",D1320-VLOOKUP($D1320,Sheet1!$M$5:$T$192,8,TRUE))</f>
        <v>9.7274755264528778E-2</v>
      </c>
      <c r="U1320" s="109">
        <f>IF(VLOOKUP($D1320,Sheet1!$M$5:$U$192,9,TRUE)=0,"",IF(ABS(D1320-VLOOKUP($D1320,Sheet1!$M$5:$U$192,9,TRUE))&lt;10^-10,"Alt.",D1320-VLOOKUP($D1320,Sheet1!$M$5:$U$192,9,TRUE)))</f>
        <v>7.0314460062093076E-2</v>
      </c>
      <c r="V1320" s="132">
        <f>$D1320-Sheet1!$M$3*$R1320</f>
        <v>0.23618307725119791</v>
      </c>
      <c r="Z1320" s="6"/>
      <c r="AA1320" s="61"/>
    </row>
    <row r="1321" spans="1:27" ht="13.5">
      <c r="A1321" t="s">
        <v>973</v>
      </c>
      <c r="B1321">
        <v>20007</v>
      </c>
      <c r="C1321">
        <v>20480</v>
      </c>
      <c r="D1321" s="13">
        <f t="shared" si="27"/>
        <v>40.45303250167207</v>
      </c>
      <c r="E1321" s="61">
        <v>19</v>
      </c>
      <c r="F1321" s="65">
        <v>45.472002088434472</v>
      </c>
      <c r="G1321" s="6">
        <v>695</v>
      </c>
      <c r="H1321" s="6">
        <v>821</v>
      </c>
      <c r="I1321" s="65">
        <v>-6.4908405895492791</v>
      </c>
      <c r="J1321" s="6">
        <f>VLOOKUP($D1321,Sheet1!$A$5:$C$192,3,TRUE)</f>
        <v>8</v>
      </c>
      <c r="K1321" s="42" t="str">
        <f>VLOOKUP($D1321,Sheet1!$A$5:$C$192,2,TRUE)</f>
        <v>//|</v>
      </c>
      <c r="L1321" s="6">
        <f>FLOOR(VLOOKUP($D1321,Sheet1!$D$5:$F$192,3,TRUE),1)</f>
        <v>17</v>
      </c>
      <c r="M1321" s="42" t="str">
        <f>VLOOKUP($D1321,Sheet1!$D$5:$F$192,2,TRUE)</f>
        <v>~|\</v>
      </c>
      <c r="N1321" s="23">
        <f>FLOOR(VLOOKUP($D1321,Sheet1!$G$5:$I$192,3,TRUE),1)</f>
        <v>21</v>
      </c>
      <c r="O1321" s="42" t="str">
        <f>VLOOKUP($D1321,Sheet1!$G$5:$I$192,2,TRUE)</f>
        <v>.//|</v>
      </c>
      <c r="P1321" s="23">
        <v>1</v>
      </c>
      <c r="Q1321" s="43" t="str">
        <f>VLOOKUP($D1321,Sheet1!$J$5:$L$192,2,TRUE)</f>
        <v>.//|.</v>
      </c>
      <c r="R1321" s="23">
        <f>FLOOR(VLOOKUP($D1321,Sheet1!$M$5:$O$192,3,TRUE),1)</f>
        <v>83</v>
      </c>
      <c r="S1321" s="42" t="str">
        <f>VLOOKUP($D1321,Sheet1!$M$5:$O$192,2,TRUE)</f>
        <v>'(|(.</v>
      </c>
      <c r="T1321" s="117">
        <f>IF(ABS(D1321-VLOOKUP($D1321,Sheet1!$M$5:$T$192,8,TRUE))&lt;10^-10,"SoCA",D1321-VLOOKUP($D1321,Sheet1!$M$5:$T$192,8,TRUE))</f>
        <v>1.6254648839819197E-2</v>
      </c>
      <c r="U1321" s="109">
        <f>IF(VLOOKUP($D1321,Sheet1!$M$5:$U$192,9,TRUE)=0,"",IF(ABS(D1321-VLOOKUP($D1321,Sheet1!$M$5:$U$192,9,TRUE))&lt;10^-10,"Alt.",D1321-VLOOKUP($D1321,Sheet1!$M$5:$U$192,9,TRUE)))</f>
        <v>-1.0705646362616505E-2</v>
      </c>
      <c r="V1321" s="132">
        <f>$D1321-Sheet1!$M$3*$R1321</f>
        <v>-4.4201415881964579E-2</v>
      </c>
      <c r="Z1321" s="6"/>
      <c r="AA1321" s="61"/>
    </row>
    <row r="1322" spans="1:27" ht="13.5">
      <c r="A1322" s="6" t="s">
        <v>395</v>
      </c>
      <c r="B1322" s="6">
        <f>2*3*7</f>
        <v>42</v>
      </c>
      <c r="C1322" s="6">
        <v>43</v>
      </c>
      <c r="D1322" s="13">
        <f t="shared" si="27"/>
        <v>40.736798308005042</v>
      </c>
      <c r="E1322" s="61">
        <v>43</v>
      </c>
      <c r="F1322" s="65">
        <v>50.146017658375541</v>
      </c>
      <c r="G1322" s="6">
        <v>248</v>
      </c>
      <c r="H1322" s="6">
        <v>232</v>
      </c>
      <c r="I1322" s="65">
        <v>-3.5083130840603172</v>
      </c>
      <c r="J1322" s="6">
        <f>VLOOKUP($D1322,Sheet1!$A$5:$C$192,3,TRUE)</f>
        <v>8</v>
      </c>
      <c r="K1322" s="42" t="str">
        <f>VLOOKUP($D1322,Sheet1!$A$5:$C$192,2,TRUE)</f>
        <v>//|</v>
      </c>
      <c r="L1322" s="6">
        <f>FLOOR(VLOOKUP($D1322,Sheet1!$D$5:$F$192,3,TRUE),1)</f>
        <v>17</v>
      </c>
      <c r="M1322" s="42" t="str">
        <f>VLOOKUP($D1322,Sheet1!$D$5:$F$192,2,TRUE)</f>
        <v>~|\</v>
      </c>
      <c r="N1322" s="23">
        <f>FLOOR(VLOOKUP($D1322,Sheet1!$G$5:$I$192,3,TRUE),1)</f>
        <v>21</v>
      </c>
      <c r="O1322" s="42" t="str">
        <f>VLOOKUP($D1322,Sheet1!$G$5:$I$192,2,TRUE)</f>
        <v>.//|</v>
      </c>
      <c r="P1322" s="23">
        <v>1</v>
      </c>
      <c r="Q1322" s="43" t="str">
        <f>VLOOKUP($D1322,Sheet1!$J$5:$L$192,2,TRUE)</f>
        <v>.//|.</v>
      </c>
      <c r="R1322" s="23">
        <f>FLOOR(VLOOKUP($D1322,Sheet1!$M$5:$O$192,3,TRUE),1)</f>
        <v>83</v>
      </c>
      <c r="S1322" s="42" t="str">
        <f>VLOOKUP($D1322,Sheet1!$M$5:$O$192,2,TRUE)</f>
        <v>.//|.</v>
      </c>
      <c r="T1322" s="117">
        <f>IF(ABS(D1322-VLOOKUP($D1322,Sheet1!$M$5:$T$192,8,TRUE))&lt;10^-10,"SoCA",D1322-VLOOKUP($D1322,Sheet1!$M$5:$T$192,8,TRUE))</f>
        <v>0.10065606846433894</v>
      </c>
      <c r="U1322" s="109">
        <f>IF(VLOOKUP($D1322,Sheet1!$M$5:$U$192,9,TRUE)=0,"",IF(ABS(D1322-VLOOKUP($D1322,Sheet1!$M$5:$U$192,9,TRUE))&lt;10^-10,"Alt.",D1322-VLOOKUP($D1322,Sheet1!$M$5:$U$192,9,TRUE)))</f>
        <v>7.3695773261903241E-2</v>
      </c>
      <c r="V1322" s="132">
        <f>$D1322-Sheet1!$M$3*$R1322</f>
        <v>0.23956439045100808</v>
      </c>
      <c r="Z1322" s="6"/>
      <c r="AA1322" s="61"/>
    </row>
    <row r="1323" spans="1:27" ht="13.5">
      <c r="A1323" s="6" t="s">
        <v>487</v>
      </c>
      <c r="B1323" s="6">
        <f>2^10*13^2</f>
        <v>173056</v>
      </c>
      <c r="C1323" s="6">
        <f>3^11</f>
        <v>177147</v>
      </c>
      <c r="D1323" s="13">
        <f t="shared" si="27"/>
        <v>40.449685980640403</v>
      </c>
      <c r="E1323" s="61">
        <v>13</v>
      </c>
      <c r="F1323" s="65">
        <v>58.603701615687619</v>
      </c>
      <c r="G1323" s="6">
        <v>286</v>
      </c>
      <c r="H1323" s="6">
        <v>327</v>
      </c>
      <c r="I1323" s="65">
        <v>8.5093654679426809</v>
      </c>
      <c r="J1323" s="6">
        <f>VLOOKUP($D1323,Sheet1!$A$5:$C$192,3,TRUE)</f>
        <v>8</v>
      </c>
      <c r="K1323" s="42" t="str">
        <f>VLOOKUP($D1323,Sheet1!$A$5:$C$192,2,TRUE)</f>
        <v>//|</v>
      </c>
      <c r="L1323" s="6">
        <f>FLOOR(VLOOKUP($D1323,Sheet1!$D$5:$F$192,3,TRUE),1)</f>
        <v>17</v>
      </c>
      <c r="M1323" s="42" t="str">
        <f>VLOOKUP($D1323,Sheet1!$D$5:$F$192,2,TRUE)</f>
        <v>~|\</v>
      </c>
      <c r="N1323" s="23">
        <f>FLOOR(VLOOKUP($D1323,Sheet1!$G$5:$I$192,3,TRUE),1)</f>
        <v>21</v>
      </c>
      <c r="O1323" s="42" t="str">
        <f>VLOOKUP($D1323,Sheet1!$G$5:$I$192,2,TRUE)</f>
        <v>.//|</v>
      </c>
      <c r="P1323" s="23">
        <v>1</v>
      </c>
      <c r="Q1323" s="43" t="str">
        <f>VLOOKUP($D1323,Sheet1!$J$5:$L$192,2,TRUE)</f>
        <v>.//|.</v>
      </c>
      <c r="R1323" s="23">
        <f>FLOOR(VLOOKUP($D1323,Sheet1!$M$5:$O$192,3,TRUE),1)</f>
        <v>83</v>
      </c>
      <c r="S1323" s="42" t="str">
        <f>VLOOKUP($D1323,Sheet1!$M$5:$O$192,2,TRUE)</f>
        <v>'(|(.</v>
      </c>
      <c r="T1323" s="117">
        <f>IF(ABS(D1323-VLOOKUP($D1323,Sheet1!$M$5:$T$192,8,TRUE))&lt;10^-10,"SoCA",D1323-VLOOKUP($D1323,Sheet1!$M$5:$T$192,8,TRUE))</f>
        <v>1.2908127808152869E-2</v>
      </c>
      <c r="U1323" s="109">
        <f>IF(VLOOKUP($D1323,Sheet1!$M$5:$U$192,9,TRUE)=0,"",IF(ABS(D1323-VLOOKUP($D1323,Sheet1!$M$5:$U$192,9,TRUE))&lt;10^-10,"Alt.",D1323-VLOOKUP($D1323,Sheet1!$M$5:$U$192,9,TRUE)))</f>
        <v>-1.4052167394282833E-2</v>
      </c>
      <c r="V1323" s="132">
        <f>$D1323-Sheet1!$M$3*$R1323</f>
        <v>-4.7547936913630906E-2</v>
      </c>
      <c r="Z1323" s="6"/>
      <c r="AA1323" s="61"/>
    </row>
    <row r="1324" spans="1:27" ht="13.5">
      <c r="A1324" t="s">
        <v>868</v>
      </c>
      <c r="B1324">
        <v>85</v>
      </c>
      <c r="C1324">
        <v>87</v>
      </c>
      <c r="D1324" s="13">
        <f t="shared" si="27"/>
        <v>40.263071653231712</v>
      </c>
      <c r="E1324" s="61">
        <v>29</v>
      </c>
      <c r="F1324" s="65">
        <v>61.252505699222155</v>
      </c>
      <c r="G1324" s="6">
        <v>779</v>
      </c>
      <c r="H1324" s="6">
        <v>715</v>
      </c>
      <c r="I1324" s="65">
        <v>-1.4791440080457559</v>
      </c>
      <c r="J1324" s="6">
        <f>VLOOKUP($D1324,Sheet1!$A$5:$C$192,3,TRUE)</f>
        <v>8</v>
      </c>
      <c r="K1324" s="42" t="str">
        <f>VLOOKUP($D1324,Sheet1!$A$5:$C$192,2,TRUE)</f>
        <v>//|</v>
      </c>
      <c r="L1324" s="6">
        <f>FLOOR(VLOOKUP($D1324,Sheet1!$D$5:$F$192,3,TRUE),1)</f>
        <v>17</v>
      </c>
      <c r="M1324" s="42" t="str">
        <f>VLOOKUP($D1324,Sheet1!$D$5:$F$192,2,TRUE)</f>
        <v>~|\</v>
      </c>
      <c r="N1324" s="23">
        <f>FLOOR(VLOOKUP($D1324,Sheet1!$G$5:$I$192,3,TRUE),1)</f>
        <v>21</v>
      </c>
      <c r="O1324" s="42" t="str">
        <f>VLOOKUP($D1324,Sheet1!$G$5:$I$192,2,TRUE)</f>
        <v>.//|</v>
      </c>
      <c r="P1324" s="23">
        <v>1</v>
      </c>
      <c r="Q1324" s="43" t="str">
        <f>VLOOKUP($D1324,Sheet1!$J$5:$L$192,2,TRUE)</f>
        <v>.//|.</v>
      </c>
      <c r="R1324" s="23">
        <f>FLOOR(VLOOKUP($D1324,Sheet1!$M$5:$O$192,3,TRUE),1)</f>
        <v>83</v>
      </c>
      <c r="S1324" s="42" t="str">
        <f>VLOOKUP($D1324,Sheet1!$M$5:$O$192,2,TRUE)</f>
        <v>'(|(.</v>
      </c>
      <c r="T1324" s="117">
        <f>IF(ABS(D1324-VLOOKUP($D1324,Sheet1!$M$5:$T$192,8,TRUE))&lt;10^-10,"SoCA",D1324-VLOOKUP($D1324,Sheet1!$M$5:$T$192,8,TRUE))</f>
        <v>-0.17370619960053801</v>
      </c>
      <c r="U1324" s="109">
        <f>IF(VLOOKUP($D1324,Sheet1!$M$5:$U$192,9,TRUE)=0,"",IF(ABS(D1324-VLOOKUP($D1324,Sheet1!$M$5:$U$192,9,TRUE))&lt;10^-10,"Alt.",D1324-VLOOKUP($D1324,Sheet1!$M$5:$U$192,9,TRUE)))</f>
        <v>-0.20066649480297372</v>
      </c>
      <c r="V1324" s="132">
        <f>$D1324-Sheet1!$M$3*$R1324</f>
        <v>-0.23416226432232179</v>
      </c>
      <c r="Z1324" s="6"/>
      <c r="AA1324" s="61"/>
    </row>
    <row r="1325" spans="1:27" ht="13.5">
      <c r="A1325" s="6" t="s">
        <v>409</v>
      </c>
      <c r="B1325" s="6">
        <f>5*7^4</f>
        <v>12005</v>
      </c>
      <c r="C1325" s="6">
        <f>2^12*3</f>
        <v>12288</v>
      </c>
      <c r="D1325" s="13">
        <f t="shared" si="27"/>
        <v>40.337661124052801</v>
      </c>
      <c r="E1325" s="61">
        <v>7</v>
      </c>
      <c r="F1325" s="65">
        <v>66.047105508034846</v>
      </c>
      <c r="G1325" s="6">
        <v>271</v>
      </c>
      <c r="H1325" s="6">
        <v>246</v>
      </c>
      <c r="I1325" s="65">
        <v>-1.4837367535084471</v>
      </c>
      <c r="J1325" s="6">
        <f>VLOOKUP($D1325,Sheet1!$A$5:$C$192,3,TRUE)</f>
        <v>8</v>
      </c>
      <c r="K1325" s="42" t="str">
        <f>VLOOKUP($D1325,Sheet1!$A$5:$C$192,2,TRUE)</f>
        <v>//|</v>
      </c>
      <c r="L1325" s="6">
        <f>FLOOR(VLOOKUP($D1325,Sheet1!$D$5:$F$192,3,TRUE),1)</f>
        <v>17</v>
      </c>
      <c r="M1325" s="42" t="str">
        <f>VLOOKUP($D1325,Sheet1!$D$5:$F$192,2,TRUE)</f>
        <v>~|\</v>
      </c>
      <c r="N1325" s="23">
        <f>FLOOR(VLOOKUP($D1325,Sheet1!$G$5:$I$192,3,TRUE),1)</f>
        <v>21</v>
      </c>
      <c r="O1325" s="42" t="str">
        <f>VLOOKUP($D1325,Sheet1!$G$5:$I$192,2,TRUE)</f>
        <v>.//|</v>
      </c>
      <c r="P1325" s="23">
        <v>1</v>
      </c>
      <c r="Q1325" s="43" t="str">
        <f>VLOOKUP($D1325,Sheet1!$J$5:$L$192,2,TRUE)</f>
        <v>.//|.</v>
      </c>
      <c r="R1325" s="23">
        <f>FLOOR(VLOOKUP($D1325,Sheet1!$M$5:$O$192,3,TRUE),1)</f>
        <v>83</v>
      </c>
      <c r="S1325" s="42" t="str">
        <f>VLOOKUP($D1325,Sheet1!$M$5:$O$192,2,TRUE)</f>
        <v>'(|(.</v>
      </c>
      <c r="T1325" s="117">
        <f>IF(ABS(D1325-VLOOKUP($D1325,Sheet1!$M$5:$T$192,8,TRUE))&lt;10^-10,"SoCA",D1325-VLOOKUP($D1325,Sheet1!$M$5:$T$192,8,TRUE))</f>
        <v>-9.9116728779449659E-2</v>
      </c>
      <c r="U1325" s="109">
        <f>IF(VLOOKUP($D1325,Sheet1!$M$5:$U$192,9,TRUE)=0,"",IF(ABS(D1325-VLOOKUP($D1325,Sheet1!$M$5:$U$192,9,TRUE))&lt;10^-10,"Alt.",D1325-VLOOKUP($D1325,Sheet1!$M$5:$U$192,9,TRUE)))</f>
        <v>-0.12607702398188536</v>
      </c>
      <c r="V1325" s="132">
        <f>$D1325-Sheet1!$M$3*$R1325</f>
        <v>-0.15957279350123343</v>
      </c>
      <c r="Z1325" s="6"/>
      <c r="AA1325" s="61"/>
    </row>
    <row r="1326" spans="1:27" ht="13.5">
      <c r="A1326" t="s">
        <v>561</v>
      </c>
      <c r="B1326">
        <v>976</v>
      </c>
      <c r="C1326">
        <v>999</v>
      </c>
      <c r="D1326" s="13">
        <f t="shared" si="27"/>
        <v>40.32423627543853</v>
      </c>
      <c r="E1326" s="61" t="s">
        <v>1931</v>
      </c>
      <c r="F1326" s="65">
        <v>98.119964152298962</v>
      </c>
      <c r="G1326" s="6">
        <v>471</v>
      </c>
      <c r="H1326" s="6">
        <v>405</v>
      </c>
      <c r="I1326" s="65">
        <v>0.51708986333011975</v>
      </c>
      <c r="J1326" s="6">
        <f>VLOOKUP($D1326,Sheet1!$A$5:$C$192,3,TRUE)</f>
        <v>8</v>
      </c>
      <c r="K1326" s="42" t="str">
        <f>VLOOKUP($D1326,Sheet1!$A$5:$C$192,2,TRUE)</f>
        <v>//|</v>
      </c>
      <c r="L1326" s="6">
        <f>FLOOR(VLOOKUP($D1326,Sheet1!$D$5:$F$192,3,TRUE),1)</f>
        <v>17</v>
      </c>
      <c r="M1326" s="42" t="str">
        <f>VLOOKUP($D1326,Sheet1!$D$5:$F$192,2,TRUE)</f>
        <v>~|\</v>
      </c>
      <c r="N1326" s="23">
        <f>FLOOR(VLOOKUP($D1326,Sheet1!$G$5:$I$192,3,TRUE),1)</f>
        <v>21</v>
      </c>
      <c r="O1326" s="42" t="str">
        <f>VLOOKUP($D1326,Sheet1!$G$5:$I$192,2,TRUE)</f>
        <v>.//|</v>
      </c>
      <c r="P1326" s="23">
        <v>1</v>
      </c>
      <c r="Q1326" s="43" t="str">
        <f>VLOOKUP($D1326,Sheet1!$J$5:$L$192,2,TRUE)</f>
        <v>.//|.</v>
      </c>
      <c r="R1326" s="23">
        <f>FLOOR(VLOOKUP($D1326,Sheet1!$M$5:$O$192,3,TRUE),1)</f>
        <v>83</v>
      </c>
      <c r="S1326" s="42" t="str">
        <f>VLOOKUP($D1326,Sheet1!$M$5:$O$192,2,TRUE)</f>
        <v>'(|(.</v>
      </c>
      <c r="T1326" s="117">
        <f>IF(ABS(D1326-VLOOKUP($D1326,Sheet1!$M$5:$T$192,8,TRUE))&lt;10^-10,"SoCA",D1326-VLOOKUP($D1326,Sheet1!$M$5:$T$192,8,TRUE))</f>
        <v>-0.11254157739372062</v>
      </c>
      <c r="U1326" s="109">
        <f>IF(VLOOKUP($D1326,Sheet1!$M$5:$U$192,9,TRUE)=0,"",IF(ABS(D1326-VLOOKUP($D1326,Sheet1!$M$5:$U$192,9,TRUE))&lt;10^-10,"Alt.",D1326-VLOOKUP($D1326,Sheet1!$M$5:$U$192,9,TRUE)))</f>
        <v>-0.13950187259615632</v>
      </c>
      <c r="V1326" s="132">
        <f>$D1326-Sheet1!$M$3*$R1326</f>
        <v>-0.17299764211550439</v>
      </c>
      <c r="Z1326" s="6"/>
      <c r="AA1326" s="61"/>
    </row>
    <row r="1327" spans="1:27" ht="13.5">
      <c r="A1327" t="s">
        <v>1555</v>
      </c>
      <c r="B1327">
        <v>94041</v>
      </c>
      <c r="C1327">
        <v>96256</v>
      </c>
      <c r="D1327" s="13">
        <f t="shared" si="27"/>
        <v>40.303910312935223</v>
      </c>
      <c r="E1327" s="61">
        <v>47</v>
      </c>
      <c r="F1327" s="65">
        <v>100.52802493724501</v>
      </c>
      <c r="G1327" s="6">
        <v>1342</v>
      </c>
      <c r="H1327" s="6">
        <v>1404</v>
      </c>
      <c r="I1327" s="65">
        <v>-9.4816585931070385</v>
      </c>
      <c r="J1327" s="6">
        <f>VLOOKUP($D1327,Sheet1!$A$5:$C$192,3,TRUE)</f>
        <v>8</v>
      </c>
      <c r="K1327" s="42" t="str">
        <f>VLOOKUP($D1327,Sheet1!$A$5:$C$192,2,TRUE)</f>
        <v>//|</v>
      </c>
      <c r="L1327" s="6">
        <f>FLOOR(VLOOKUP($D1327,Sheet1!$D$5:$F$192,3,TRUE),1)</f>
        <v>17</v>
      </c>
      <c r="M1327" s="42" t="str">
        <f>VLOOKUP($D1327,Sheet1!$D$5:$F$192,2,TRUE)</f>
        <v>~|\</v>
      </c>
      <c r="N1327" s="23">
        <f>FLOOR(VLOOKUP($D1327,Sheet1!$G$5:$I$192,3,TRUE),1)</f>
        <v>21</v>
      </c>
      <c r="O1327" s="42" t="str">
        <f>VLOOKUP($D1327,Sheet1!$G$5:$I$192,2,TRUE)</f>
        <v>.//|</v>
      </c>
      <c r="P1327" s="23">
        <v>1</v>
      </c>
      <c r="Q1327" s="43" t="str">
        <f>VLOOKUP($D1327,Sheet1!$J$5:$L$192,2,TRUE)</f>
        <v>.//|.</v>
      </c>
      <c r="R1327" s="23">
        <f>FLOOR(VLOOKUP($D1327,Sheet1!$M$5:$O$192,3,TRUE),1)</f>
        <v>83</v>
      </c>
      <c r="S1327" s="42" t="str">
        <f>VLOOKUP($D1327,Sheet1!$M$5:$O$192,2,TRUE)</f>
        <v>'(|(.</v>
      </c>
      <c r="T1327" s="117">
        <f>IF(ABS(D1327-VLOOKUP($D1327,Sheet1!$M$5:$T$192,8,TRUE))&lt;10^-10,"SoCA",D1327-VLOOKUP($D1327,Sheet1!$M$5:$T$192,8,TRUE))</f>
        <v>-0.1328675398970276</v>
      </c>
      <c r="U1327" s="109">
        <f>IF(VLOOKUP($D1327,Sheet1!$M$5:$U$192,9,TRUE)=0,"",IF(ABS(D1327-VLOOKUP($D1327,Sheet1!$M$5:$U$192,9,TRUE))&lt;10^-10,"Alt.",D1327-VLOOKUP($D1327,Sheet1!$M$5:$U$192,9,TRUE)))</f>
        <v>-0.1598278350994633</v>
      </c>
      <c r="V1327" s="132">
        <f>$D1327-Sheet1!$M$3*$R1327</f>
        <v>-0.19332360461881137</v>
      </c>
      <c r="Z1327" s="6"/>
      <c r="AA1327" s="61"/>
    </row>
    <row r="1328" spans="1:27" ht="13.5">
      <c r="A1328" s="6" t="s">
        <v>1892</v>
      </c>
      <c r="B1328">
        <v>137781</v>
      </c>
      <c r="C1328">
        <v>141056</v>
      </c>
      <c r="D1328" s="13">
        <f t="shared" si="27"/>
        <v>40.669296027777321</v>
      </c>
      <c r="E1328" s="61">
        <v>29</v>
      </c>
      <c r="F1328" s="65">
        <v>104.15547384290893</v>
      </c>
      <c r="G1328" s="59">
        <v>1728</v>
      </c>
      <c r="H1328" s="63">
        <v>1000097</v>
      </c>
      <c r="I1328" s="65">
        <v>-11.504156722742501</v>
      </c>
      <c r="J1328" s="6">
        <f>VLOOKUP($D1328,Sheet1!$A$5:$C$192,3,TRUE)</f>
        <v>8</v>
      </c>
      <c r="K1328" s="42" t="str">
        <f>VLOOKUP($D1328,Sheet1!$A$5:$C$192,2,TRUE)</f>
        <v>//|</v>
      </c>
      <c r="L1328" s="6">
        <f>FLOOR(VLOOKUP($D1328,Sheet1!$D$5:$F$192,3,TRUE),1)</f>
        <v>17</v>
      </c>
      <c r="M1328" s="42" t="str">
        <f>VLOOKUP($D1328,Sheet1!$D$5:$F$192,2,TRUE)</f>
        <v>~|\</v>
      </c>
      <c r="N1328" s="23">
        <f>FLOOR(VLOOKUP($D1328,Sheet1!$G$5:$I$192,3,TRUE),1)</f>
        <v>21</v>
      </c>
      <c r="O1328" s="42" t="str">
        <f>VLOOKUP($D1328,Sheet1!$G$5:$I$192,2,TRUE)</f>
        <v>.//|</v>
      </c>
      <c r="P1328" s="23">
        <v>1</v>
      </c>
      <c r="Q1328" s="43" t="str">
        <f>VLOOKUP($D1328,Sheet1!$J$5:$L$192,2,TRUE)</f>
        <v>.//|.</v>
      </c>
      <c r="R1328" s="23">
        <f>FLOOR(VLOOKUP($D1328,Sheet1!$M$5:$O$192,3,TRUE),1)</f>
        <v>83</v>
      </c>
      <c r="S1328" s="42" t="str">
        <f>VLOOKUP($D1328,Sheet1!$M$5:$O$192,2,TRUE)</f>
        <v>.//|.</v>
      </c>
      <c r="T1328" s="117">
        <f>IF(ABS(D1328-VLOOKUP($D1328,Sheet1!$M$5:$T$192,8,TRUE))&lt;10^-10,"SoCA",D1328-VLOOKUP($D1328,Sheet1!$M$5:$T$192,8,TRUE))</f>
        <v>3.3153788236617743E-2</v>
      </c>
      <c r="U1328" s="109">
        <f>IF(VLOOKUP($D1328,Sheet1!$M$5:$U$192,9,TRUE)=0,"",IF(ABS(D1328-VLOOKUP($D1328,Sheet1!$M$5:$U$192,9,TRUE))&lt;10^-10,"Alt.",D1328-VLOOKUP($D1328,Sheet1!$M$5:$U$192,9,TRUE)))</f>
        <v>6.1934930341820404E-3</v>
      </c>
      <c r="V1328" s="132">
        <f>$D1328-Sheet1!$M$3*$R1328</f>
        <v>0.17206211022328688</v>
      </c>
      <c r="Z1328" s="6"/>
      <c r="AA1328" s="61"/>
    </row>
    <row r="1329" spans="1:27" ht="13.5">
      <c r="A1329" t="s">
        <v>1568</v>
      </c>
      <c r="B1329">
        <v>17825792</v>
      </c>
      <c r="C1329">
        <v>18246141</v>
      </c>
      <c r="D1329" s="13">
        <f t="shared" si="27"/>
        <v>40.350232638716207</v>
      </c>
      <c r="E1329" s="61" t="s">
        <v>1931</v>
      </c>
      <c r="F1329" s="65">
        <v>152.03152307101587</v>
      </c>
      <c r="G1329" s="6">
        <v>1473</v>
      </c>
      <c r="H1329" s="6">
        <v>1417</v>
      </c>
      <c r="I1329" s="65">
        <v>8.5154891725332043</v>
      </c>
      <c r="J1329" s="6">
        <f>VLOOKUP($D1329,Sheet1!$A$5:$C$192,3,TRUE)</f>
        <v>8</v>
      </c>
      <c r="K1329" s="42" t="str">
        <f>VLOOKUP($D1329,Sheet1!$A$5:$C$192,2,TRUE)</f>
        <v>//|</v>
      </c>
      <c r="L1329" s="6">
        <f>FLOOR(VLOOKUP($D1329,Sheet1!$D$5:$F$192,3,TRUE),1)</f>
        <v>17</v>
      </c>
      <c r="M1329" s="42" t="str">
        <f>VLOOKUP($D1329,Sheet1!$D$5:$F$192,2,TRUE)</f>
        <v>~|\</v>
      </c>
      <c r="N1329" s="23">
        <f>FLOOR(VLOOKUP($D1329,Sheet1!$G$5:$I$192,3,TRUE),1)</f>
        <v>21</v>
      </c>
      <c r="O1329" s="42" t="str">
        <f>VLOOKUP($D1329,Sheet1!$G$5:$I$192,2,TRUE)</f>
        <v>.//|</v>
      </c>
      <c r="P1329" s="23">
        <v>1</v>
      </c>
      <c r="Q1329" s="43" t="str">
        <f>VLOOKUP($D1329,Sheet1!$J$5:$L$192,2,TRUE)</f>
        <v>.//|.</v>
      </c>
      <c r="R1329" s="23">
        <f>FLOOR(VLOOKUP($D1329,Sheet1!$M$5:$O$192,3,TRUE),1)</f>
        <v>83</v>
      </c>
      <c r="S1329" s="42" t="str">
        <f>VLOOKUP($D1329,Sheet1!$M$5:$O$192,2,TRUE)</f>
        <v>'(|(.</v>
      </c>
      <c r="T1329" s="117">
        <f>IF(ABS(D1329-VLOOKUP($D1329,Sheet1!$M$5:$T$192,8,TRUE))&lt;10^-10,"SoCA",D1329-VLOOKUP($D1329,Sheet1!$M$5:$T$192,8,TRUE))</f>
        <v>-8.6545214116043212E-2</v>
      </c>
      <c r="U1329" s="109">
        <f>IF(VLOOKUP($D1329,Sheet1!$M$5:$U$192,9,TRUE)=0,"",IF(ABS(D1329-VLOOKUP($D1329,Sheet1!$M$5:$U$192,9,TRUE))&lt;10^-10,"Alt.",D1329-VLOOKUP($D1329,Sheet1!$M$5:$U$192,9,TRUE)))</f>
        <v>-0.11350550931847891</v>
      </c>
      <c r="V1329" s="132">
        <f>$D1329-Sheet1!$M$3*$R1329</f>
        <v>-0.14700127883782699</v>
      </c>
      <c r="Z1329" s="6"/>
      <c r="AA1329" s="61"/>
    </row>
    <row r="1330" spans="1:27" ht="13.5">
      <c r="A1330" t="s">
        <v>1680</v>
      </c>
      <c r="B1330">
        <v>52428800</v>
      </c>
      <c r="C1330">
        <v>53675541</v>
      </c>
      <c r="D1330" s="13">
        <f t="shared" si="27"/>
        <v>40.686361957133165</v>
      </c>
      <c r="E1330" s="61" t="s">
        <v>1931</v>
      </c>
      <c r="F1330" s="65">
        <v>196.1049970583847</v>
      </c>
      <c r="G1330" s="6">
        <v>1586</v>
      </c>
      <c r="H1330" s="6">
        <v>1529</v>
      </c>
      <c r="I1330" s="65">
        <v>9.4947924658124947</v>
      </c>
      <c r="J1330" s="6">
        <f>VLOOKUP($D1330,Sheet1!$A$5:$C$192,3,TRUE)</f>
        <v>8</v>
      </c>
      <c r="K1330" s="42" t="str">
        <f>VLOOKUP($D1330,Sheet1!$A$5:$C$192,2,TRUE)</f>
        <v>//|</v>
      </c>
      <c r="L1330" s="6">
        <f>FLOOR(VLOOKUP($D1330,Sheet1!$D$5:$F$192,3,TRUE),1)</f>
        <v>17</v>
      </c>
      <c r="M1330" s="42" t="str">
        <f>VLOOKUP($D1330,Sheet1!$D$5:$F$192,2,TRUE)</f>
        <v>~|\</v>
      </c>
      <c r="N1330" s="23">
        <f>FLOOR(VLOOKUP($D1330,Sheet1!$G$5:$I$192,3,TRUE),1)</f>
        <v>21</v>
      </c>
      <c r="O1330" s="42" t="str">
        <f>VLOOKUP($D1330,Sheet1!$G$5:$I$192,2,TRUE)</f>
        <v>.//|</v>
      </c>
      <c r="P1330" s="23">
        <v>1</v>
      </c>
      <c r="Q1330" s="43" t="str">
        <f>VLOOKUP($D1330,Sheet1!$J$5:$L$192,2,TRUE)</f>
        <v>.//|.</v>
      </c>
      <c r="R1330" s="23">
        <f>FLOOR(VLOOKUP($D1330,Sheet1!$M$5:$O$192,3,TRUE),1)</f>
        <v>83</v>
      </c>
      <c r="S1330" s="42" t="str">
        <f>VLOOKUP($D1330,Sheet1!$M$5:$O$192,2,TRUE)</f>
        <v>.//|.</v>
      </c>
      <c r="T1330" s="117">
        <f>IF(ABS(D1330-VLOOKUP($D1330,Sheet1!$M$5:$T$192,8,TRUE))&lt;10^-10,"SoCA",D1330-VLOOKUP($D1330,Sheet1!$M$5:$T$192,8,TRUE))</f>
        <v>5.0219717592462132E-2</v>
      </c>
      <c r="U1330" s="109">
        <f>IF(VLOOKUP($D1330,Sheet1!$M$5:$U$192,9,TRUE)=0,"",IF(ABS(D1330-VLOOKUP($D1330,Sheet1!$M$5:$U$192,9,TRUE))&lt;10^-10,"Alt.",D1330-VLOOKUP($D1330,Sheet1!$M$5:$U$192,9,TRUE)))</f>
        <v>2.325942239002643E-2</v>
      </c>
      <c r="V1330" s="132">
        <f>$D1330-Sheet1!$M$3*$R1330</f>
        <v>0.18912803957913127</v>
      </c>
      <c r="Z1330" s="6"/>
      <c r="AA1330" s="61"/>
    </row>
    <row r="1331" spans="1:27" ht="13.5">
      <c r="A1331" t="s">
        <v>775</v>
      </c>
      <c r="B1331">
        <v>211</v>
      </c>
      <c r="C1331">
        <v>216</v>
      </c>
      <c r="D1331" s="13">
        <f t="shared" si="27"/>
        <v>40.545976147539946</v>
      </c>
      <c r="E1331" s="61" t="s">
        <v>1931</v>
      </c>
      <c r="F1331" s="65">
        <v>253.3394614315429</v>
      </c>
      <c r="G1331" s="6">
        <v>727</v>
      </c>
      <c r="H1331" s="6">
        <v>621</v>
      </c>
      <c r="I1331" s="65">
        <v>0.50343653156249868</v>
      </c>
      <c r="J1331" s="6">
        <f>VLOOKUP($D1331,Sheet1!$A$5:$C$192,3,TRUE)</f>
        <v>8</v>
      </c>
      <c r="K1331" s="42" t="str">
        <f>VLOOKUP($D1331,Sheet1!$A$5:$C$192,2,TRUE)</f>
        <v>//|</v>
      </c>
      <c r="L1331" s="6">
        <f>FLOOR(VLOOKUP($D1331,Sheet1!$D$5:$F$192,3,TRUE),1)</f>
        <v>17</v>
      </c>
      <c r="M1331" s="42" t="str">
        <f>VLOOKUP($D1331,Sheet1!$D$5:$F$192,2,TRUE)</f>
        <v>~|\</v>
      </c>
      <c r="N1331" s="23">
        <f>FLOOR(VLOOKUP($D1331,Sheet1!$G$5:$I$192,3,TRUE),1)</f>
        <v>21</v>
      </c>
      <c r="O1331" s="42" t="str">
        <f>VLOOKUP($D1331,Sheet1!$G$5:$I$192,2,TRUE)</f>
        <v>.//|</v>
      </c>
      <c r="P1331" s="23">
        <v>1</v>
      </c>
      <c r="Q1331" s="43" t="str">
        <f>VLOOKUP($D1331,Sheet1!$J$5:$L$192,2,TRUE)</f>
        <v>.//|.</v>
      </c>
      <c r="R1331" s="23">
        <f>FLOOR(VLOOKUP($D1331,Sheet1!$M$5:$O$192,3,TRUE),1)</f>
        <v>83</v>
      </c>
      <c r="S1331" s="42" t="str">
        <f>VLOOKUP($D1331,Sheet1!$M$5:$O$192,2,TRUE)</f>
        <v>.//|.</v>
      </c>
      <c r="T1331" s="117">
        <f>IF(ABS(D1331-VLOOKUP($D1331,Sheet1!$M$5:$T$192,8,TRUE))&lt;10^-10,"SoCA",D1331-VLOOKUP($D1331,Sheet1!$M$5:$T$192,8,TRUE))</f>
        <v>-9.0166092000757203E-2</v>
      </c>
      <c r="U1331" s="109">
        <f>IF(VLOOKUP($D1331,Sheet1!$M$5:$U$192,9,TRUE)=0,"",IF(ABS(D1331-VLOOKUP($D1331,Sheet1!$M$5:$U$192,9,TRUE))&lt;10^-10,"Alt.",D1331-VLOOKUP($D1331,Sheet1!$M$5:$U$192,9,TRUE)))</f>
        <v>-0.11712638720319291</v>
      </c>
      <c r="V1331" s="132">
        <f>$D1331-Sheet1!$M$3*$R1331</f>
        <v>4.8742229985911933E-2</v>
      </c>
      <c r="Z1331" s="6"/>
      <c r="AA1331" s="61"/>
    </row>
    <row r="1332" spans="1:27" ht="13.5">
      <c r="A1332" t="s">
        <v>1369</v>
      </c>
      <c r="B1332">
        <v>312579</v>
      </c>
      <c r="C1332">
        <v>320000</v>
      </c>
      <c r="D1332" s="13">
        <f t="shared" si="27"/>
        <v>40.621257748284506</v>
      </c>
      <c r="E1332" s="61" t="s">
        <v>1931</v>
      </c>
      <c r="F1332" s="65">
        <v>371.24379248989612</v>
      </c>
      <c r="G1332" s="6">
        <v>1283</v>
      </c>
      <c r="H1332" s="6">
        <v>1218</v>
      </c>
      <c r="I1332" s="65">
        <v>-6.5011988308611475</v>
      </c>
      <c r="J1332" s="6">
        <f>VLOOKUP($D1332,Sheet1!$A$5:$C$192,3,TRUE)</f>
        <v>8</v>
      </c>
      <c r="K1332" s="42" t="str">
        <f>VLOOKUP($D1332,Sheet1!$A$5:$C$192,2,TRUE)</f>
        <v>//|</v>
      </c>
      <c r="L1332" s="6">
        <f>FLOOR(VLOOKUP($D1332,Sheet1!$D$5:$F$192,3,TRUE),1)</f>
        <v>17</v>
      </c>
      <c r="M1332" s="42" t="str">
        <f>VLOOKUP($D1332,Sheet1!$D$5:$F$192,2,TRUE)</f>
        <v>~|\</v>
      </c>
      <c r="N1332" s="23">
        <f>FLOOR(VLOOKUP($D1332,Sheet1!$G$5:$I$192,3,TRUE),1)</f>
        <v>21</v>
      </c>
      <c r="O1332" s="42" t="str">
        <f>VLOOKUP($D1332,Sheet1!$G$5:$I$192,2,TRUE)</f>
        <v>.//|</v>
      </c>
      <c r="P1332" s="23">
        <v>1</v>
      </c>
      <c r="Q1332" s="43" t="str">
        <f>VLOOKUP($D1332,Sheet1!$J$5:$L$192,2,TRUE)</f>
        <v>.//|.</v>
      </c>
      <c r="R1332" s="23">
        <f>FLOOR(VLOOKUP($D1332,Sheet1!$M$5:$O$192,3,TRUE),1)</f>
        <v>83</v>
      </c>
      <c r="S1332" s="42" t="str">
        <f>VLOOKUP($D1332,Sheet1!$M$5:$O$192,2,TRUE)</f>
        <v>.//|.</v>
      </c>
      <c r="T1332" s="117">
        <f>IF(ABS(D1332-VLOOKUP($D1332,Sheet1!$M$5:$T$192,8,TRUE))&lt;10^-10,"SoCA",D1332-VLOOKUP($D1332,Sheet1!$M$5:$T$192,8,TRUE))</f>
        <v>-1.4884491256196952E-2</v>
      </c>
      <c r="U1332" s="109">
        <f>IF(VLOOKUP($D1332,Sheet1!$M$5:$U$192,9,TRUE)=0,"",IF(ABS(D1332-VLOOKUP($D1332,Sheet1!$M$5:$U$192,9,TRUE))&lt;10^-10,"Alt.",D1332-VLOOKUP($D1332,Sheet1!$M$5:$U$192,9,TRUE)))</f>
        <v>-4.1844786458632655E-2</v>
      </c>
      <c r="V1332" s="132">
        <f>$D1332-Sheet1!$M$3*$R1332</f>
        <v>0.12402383073047218</v>
      </c>
      <c r="Z1332" s="6"/>
      <c r="AA1332" s="61"/>
    </row>
    <row r="1333" spans="1:27" ht="13.5">
      <c r="A1333" t="s">
        <v>1273</v>
      </c>
      <c r="B1333">
        <v>156303</v>
      </c>
      <c r="C1333">
        <v>160000</v>
      </c>
      <c r="D1333" s="13">
        <f t="shared" si="27"/>
        <v>40.471723388522406</v>
      </c>
      <c r="E1333" s="61" t="s">
        <v>1931</v>
      </c>
      <c r="F1333" s="65">
        <v>1196.5885669666554</v>
      </c>
      <c r="G1333" s="6">
        <v>1181</v>
      </c>
      <c r="H1333" s="6">
        <v>1122</v>
      </c>
      <c r="I1333" s="65">
        <v>-5.4919914555472626</v>
      </c>
      <c r="J1333" s="6">
        <f>VLOOKUP($D1333,Sheet1!$A$5:$C$192,3,TRUE)</f>
        <v>8</v>
      </c>
      <c r="K1333" s="42" t="str">
        <f>VLOOKUP($D1333,Sheet1!$A$5:$C$192,2,TRUE)</f>
        <v>//|</v>
      </c>
      <c r="L1333" s="6">
        <f>FLOOR(VLOOKUP($D1333,Sheet1!$D$5:$F$192,3,TRUE),1)</f>
        <v>17</v>
      </c>
      <c r="M1333" s="42" t="str">
        <f>VLOOKUP($D1333,Sheet1!$D$5:$F$192,2,TRUE)</f>
        <v>~|\</v>
      </c>
      <c r="N1333" s="23">
        <f>FLOOR(VLOOKUP($D1333,Sheet1!$G$5:$I$192,3,TRUE),1)</f>
        <v>21</v>
      </c>
      <c r="O1333" s="42" t="str">
        <f>VLOOKUP($D1333,Sheet1!$G$5:$I$192,2,TRUE)</f>
        <v>.//|</v>
      </c>
      <c r="P1333" s="23">
        <v>1</v>
      </c>
      <c r="Q1333" s="43" t="str">
        <f>VLOOKUP($D1333,Sheet1!$J$5:$L$192,2,TRUE)</f>
        <v>.//|.</v>
      </c>
      <c r="R1333" s="23">
        <f>FLOOR(VLOOKUP($D1333,Sheet1!$M$5:$O$192,3,TRUE),1)</f>
        <v>83</v>
      </c>
      <c r="S1333" s="42" t="str">
        <f>VLOOKUP($D1333,Sheet1!$M$5:$O$192,2,TRUE)</f>
        <v>'(|(.</v>
      </c>
      <c r="T1333" s="117">
        <f>IF(ABS(D1333-VLOOKUP($D1333,Sheet1!$M$5:$T$192,8,TRUE))&lt;10^-10,"SoCA",D1333-VLOOKUP($D1333,Sheet1!$M$5:$T$192,8,TRUE))</f>
        <v>3.4945535690155793E-2</v>
      </c>
      <c r="U1333" s="109">
        <f>IF(VLOOKUP($D1333,Sheet1!$M$5:$U$192,9,TRUE)=0,"",IF(ABS(D1333-VLOOKUP($D1333,Sheet1!$M$5:$U$192,9,TRUE))&lt;10^-10,"Alt.",D1333-VLOOKUP($D1333,Sheet1!$M$5:$U$192,9,TRUE)))</f>
        <v>7.9852404877200911E-3</v>
      </c>
      <c r="V1333" s="132">
        <f>$D1333-Sheet1!$M$3*$R1333</f>
        <v>-2.5510529031627982E-2</v>
      </c>
      <c r="Z1333" s="6"/>
      <c r="AA1333" s="61"/>
    </row>
    <row r="1334" spans="1:27" ht="13.5">
      <c r="A1334" t="s">
        <v>1566</v>
      </c>
      <c r="B1334">
        <v>1588723712</v>
      </c>
      <c r="C1334">
        <v>1626386607</v>
      </c>
      <c r="D1334" s="13">
        <f t="shared" si="27"/>
        <v>40.562383563728055</v>
      </c>
      <c r="E1334" s="61" t="s">
        <v>1931</v>
      </c>
      <c r="F1334" s="65">
        <v>13013.611164964559</v>
      </c>
      <c r="G1334" s="6">
        <v>1471</v>
      </c>
      <c r="H1334" s="6">
        <v>1415</v>
      </c>
      <c r="I1334" s="65">
        <v>8.502426267172325</v>
      </c>
      <c r="J1334" s="6">
        <f>VLOOKUP($D1334,Sheet1!$A$5:$C$192,3,TRUE)</f>
        <v>8</v>
      </c>
      <c r="K1334" s="42" t="str">
        <f>VLOOKUP($D1334,Sheet1!$A$5:$C$192,2,TRUE)</f>
        <v>//|</v>
      </c>
      <c r="L1334" s="6">
        <f>FLOOR(VLOOKUP($D1334,Sheet1!$D$5:$F$192,3,TRUE),1)</f>
        <v>17</v>
      </c>
      <c r="M1334" s="42" t="str">
        <f>VLOOKUP($D1334,Sheet1!$D$5:$F$192,2,TRUE)</f>
        <v>~|\</v>
      </c>
      <c r="N1334" s="23">
        <f>FLOOR(VLOOKUP($D1334,Sheet1!$G$5:$I$192,3,TRUE),1)</f>
        <v>21</v>
      </c>
      <c r="O1334" s="42" t="str">
        <f>VLOOKUP($D1334,Sheet1!$G$5:$I$192,2,TRUE)</f>
        <v>.//|</v>
      </c>
      <c r="P1334" s="23">
        <v>1</v>
      </c>
      <c r="Q1334" s="43" t="str">
        <f>VLOOKUP($D1334,Sheet1!$J$5:$L$192,2,TRUE)</f>
        <v>.//|.</v>
      </c>
      <c r="R1334" s="23">
        <f>FLOOR(VLOOKUP($D1334,Sheet1!$M$5:$O$192,3,TRUE),1)</f>
        <v>83</v>
      </c>
      <c r="S1334" s="42" t="str">
        <f>VLOOKUP($D1334,Sheet1!$M$5:$O$192,2,TRUE)</f>
        <v>.//|.</v>
      </c>
      <c r="T1334" s="117">
        <f>IF(ABS(D1334-VLOOKUP($D1334,Sheet1!$M$5:$T$192,8,TRUE))&lt;10^-10,"SoCA",D1334-VLOOKUP($D1334,Sheet1!$M$5:$T$192,8,TRUE))</f>
        <v>-7.3758675812648278E-2</v>
      </c>
      <c r="U1334" s="109">
        <f>IF(VLOOKUP($D1334,Sheet1!$M$5:$U$192,9,TRUE)=0,"",IF(ABS(D1334-VLOOKUP($D1334,Sheet1!$M$5:$U$192,9,TRUE))&lt;10^-10,"Alt.",D1334-VLOOKUP($D1334,Sheet1!$M$5:$U$192,9,TRUE)))</f>
        <v>-0.10071897101508398</v>
      </c>
      <c r="V1334" s="132">
        <f>$D1334-Sheet1!$M$3*$R1334</f>
        <v>6.5149646174020859E-2</v>
      </c>
      <c r="Z1334" s="6"/>
      <c r="AA1334" s="61"/>
    </row>
    <row r="1335" spans="1:27" ht="13.5">
      <c r="A1335" s="48" t="s">
        <v>162</v>
      </c>
      <c r="B1335" s="48">
        <f>5^3</f>
        <v>125</v>
      </c>
      <c r="C1335" s="54">
        <f>2^7</f>
        <v>128</v>
      </c>
      <c r="D1335" s="51">
        <f t="shared" si="27"/>
        <v>41.058858405495592</v>
      </c>
      <c r="E1335" s="61">
        <v>5</v>
      </c>
      <c r="F1335" s="65">
        <v>24.05296673743003</v>
      </c>
      <c r="G1335" s="6">
        <v>14</v>
      </c>
      <c r="H1335" s="6">
        <v>14</v>
      </c>
      <c r="I1335" s="65">
        <v>-2.528143497591627</v>
      </c>
      <c r="J1335" s="6">
        <f>VLOOKUP($D1335,Sheet1!$A$5:$C$192,3,TRUE)</f>
        <v>8</v>
      </c>
      <c r="K1335" s="42" t="str">
        <f>VLOOKUP($D1335,Sheet1!$A$5:$C$192,2,TRUE)</f>
        <v>//|</v>
      </c>
      <c r="L1335" s="6">
        <f>FLOOR(VLOOKUP($D1335,Sheet1!$D$5:$F$192,3,TRUE),1)</f>
        <v>17</v>
      </c>
      <c r="M1335" s="42" t="str">
        <f>VLOOKUP($D1335,Sheet1!$D$5:$F$192,2,TRUE)</f>
        <v>~|\</v>
      </c>
      <c r="N1335" s="39">
        <f>FLOOR(VLOOKUP($D1335,Sheet1!$G$5:$I$192,3,TRUE),1)</f>
        <v>21</v>
      </c>
      <c r="O1335" s="44" t="str">
        <f>VLOOKUP($D1335,Sheet1!$G$5:$I$192,2,TRUE)</f>
        <v>.//|</v>
      </c>
      <c r="P1335" s="39">
        <v>1</v>
      </c>
      <c r="Q1335" s="44" t="str">
        <f>VLOOKUP($D1335,Sheet1!$J$5:$L$192,2,TRUE)</f>
        <v>.//|</v>
      </c>
      <c r="R1335" s="39">
        <f>FLOOR(VLOOKUP($D1335,Sheet1!$M$5:$O$192,3,TRUE),1)</f>
        <v>84</v>
      </c>
      <c r="S1335" s="44" t="str">
        <f>VLOOKUP($D1335,Sheet1!$M$5:$O$192,2,TRUE)</f>
        <v>.//|</v>
      </c>
      <c r="T1335" s="113" t="str">
        <f>IF(ABS(D1335-VLOOKUP($D1335,Sheet1!$M$5:$T$192,8,TRUE))&lt;10^-10,"SoCA",D1335-VLOOKUP($D1335,Sheet1!$M$5:$T$192,8,TRUE))</f>
        <v>SoCA</v>
      </c>
      <c r="U1335" s="118" t="str">
        <f>IF(VLOOKUP($D1335,Sheet1!$M$5:$U$192,9,TRUE)=0,"",IF(ABS(D1335-VLOOKUP($D1335,Sheet1!$M$5:$U$192,9,TRUE))&lt;10^-10,"Alt.",D1335-VLOOKUP($D1335,Sheet1!$M$5:$U$192,9,TRUE)))</f>
        <v/>
      </c>
      <c r="V1335" s="136">
        <f>$D1335-Sheet1!$M$3*$R1335</f>
        <v>7.370600700717489E-2</v>
      </c>
      <c r="Z1335" s="6"/>
      <c r="AA1335" s="61"/>
    </row>
    <row r="1336" spans="1:27" ht="13.5">
      <c r="A1336" s="47" t="s">
        <v>295</v>
      </c>
      <c r="B1336" s="47">
        <f>2^17*11</f>
        <v>1441792</v>
      </c>
      <c r="C1336" s="47">
        <f>3^10*5^2</f>
        <v>1476225</v>
      </c>
      <c r="D1336" s="13">
        <f t="shared" si="27"/>
        <v>40.85949401878721</v>
      </c>
      <c r="E1336" s="61">
        <v>11</v>
      </c>
      <c r="F1336" s="65">
        <v>35.619115151042166</v>
      </c>
      <c r="G1336" s="6">
        <v>116</v>
      </c>
      <c r="H1336" s="6">
        <v>121</v>
      </c>
      <c r="I1336" s="65">
        <v>7.4841320940220131</v>
      </c>
      <c r="J1336" s="6">
        <f>VLOOKUP($D1336,Sheet1!$A$5:$C$192,3,TRUE)</f>
        <v>8</v>
      </c>
      <c r="K1336" s="42" t="str">
        <f>VLOOKUP($D1336,Sheet1!$A$5:$C$192,2,TRUE)</f>
        <v>//|</v>
      </c>
      <c r="L1336" s="6">
        <f>FLOOR(VLOOKUP($D1336,Sheet1!$D$5:$F$192,3,TRUE),1)</f>
        <v>17</v>
      </c>
      <c r="M1336" s="42" t="str">
        <f>VLOOKUP($D1336,Sheet1!$D$5:$F$192,2,TRUE)</f>
        <v>~|\</v>
      </c>
      <c r="N1336" s="23">
        <f>FLOOR(VLOOKUP($D1336,Sheet1!$G$5:$I$192,3,TRUE),1)</f>
        <v>21</v>
      </c>
      <c r="O1336" s="42" t="str">
        <f>VLOOKUP($D1336,Sheet1!$G$5:$I$192,2,TRUE)</f>
        <v>.//|</v>
      </c>
      <c r="P1336" s="23">
        <v>1</v>
      </c>
      <c r="Q1336" s="43" t="str">
        <f>VLOOKUP($D1336,Sheet1!$J$5:$L$192,2,TRUE)</f>
        <v>.//|</v>
      </c>
      <c r="R1336" s="40">
        <f>FLOOR(VLOOKUP($D1336,Sheet1!$M$5:$O$192,3,TRUE),1)</f>
        <v>84</v>
      </c>
      <c r="S1336" s="46" t="str">
        <f>VLOOKUP($D1336,Sheet1!$M$5:$O$192,2,TRUE)</f>
        <v>'(|(</v>
      </c>
      <c r="T1336" s="116" t="str">
        <f>IF(ABS(D1336-VLOOKUP($D1336,Sheet1!$M$5:$T$192,8,TRUE))&lt;10^-10,"SoCA",D1336-VLOOKUP($D1336,Sheet1!$M$5:$T$192,8,TRUE))</f>
        <v>SoCA</v>
      </c>
      <c r="U1336" s="115" t="str">
        <f>IF(VLOOKUP($D1336,Sheet1!$M$5:$U$192,9,TRUE)=0,"",IF(ABS(D1336-VLOOKUP($D1336,Sheet1!$M$5:$U$192,9,TRUE))&lt;10^-10,"Alt.",D1336-VLOOKUP($D1336,Sheet1!$M$5:$U$192,9,TRUE)))</f>
        <v/>
      </c>
      <c r="V1336" s="132">
        <f>$D1336-Sheet1!$M$3*$R1336</f>
        <v>-0.12565837970120697</v>
      </c>
      <c r="Z1336" s="6"/>
      <c r="AA1336" s="61"/>
    </row>
    <row r="1337" spans="1:27" ht="13.5">
      <c r="A1337" t="s">
        <v>1085</v>
      </c>
      <c r="B1337">
        <v>1536</v>
      </c>
      <c r="C1337">
        <v>1573</v>
      </c>
      <c r="D1337" s="13">
        <f t="shared" si="27"/>
        <v>41.208545633436721</v>
      </c>
      <c r="E1337" s="61">
        <v>13</v>
      </c>
      <c r="F1337" s="65">
        <v>56.135749196810529</v>
      </c>
      <c r="G1337" s="6">
        <v>999</v>
      </c>
      <c r="H1337" s="6">
        <v>934</v>
      </c>
      <c r="I1337" s="65">
        <v>-3.5373602855562245</v>
      </c>
      <c r="J1337" s="6">
        <f>VLOOKUP($D1337,Sheet1!$A$5:$C$192,3,TRUE)</f>
        <v>8</v>
      </c>
      <c r="K1337" s="42" t="str">
        <f>VLOOKUP($D1337,Sheet1!$A$5:$C$192,2,TRUE)</f>
        <v>//|</v>
      </c>
      <c r="L1337" s="6">
        <f>FLOOR(VLOOKUP($D1337,Sheet1!$D$5:$F$192,3,TRUE),1)</f>
        <v>17</v>
      </c>
      <c r="M1337" s="42" t="str">
        <f>VLOOKUP($D1337,Sheet1!$D$5:$F$192,2,TRUE)</f>
        <v>~|\</v>
      </c>
      <c r="N1337" s="23">
        <f>FLOOR(VLOOKUP($D1337,Sheet1!$G$5:$I$192,3,TRUE),1)</f>
        <v>21</v>
      </c>
      <c r="O1337" s="42" t="str">
        <f>VLOOKUP($D1337,Sheet1!$G$5:$I$192,2,TRUE)</f>
        <v>.//|</v>
      </c>
      <c r="P1337" s="23">
        <v>1</v>
      </c>
      <c r="Q1337" s="43" t="str">
        <f>VLOOKUP($D1337,Sheet1!$J$5:$L$192,2,TRUE)</f>
        <v>.//|</v>
      </c>
      <c r="R1337" s="23">
        <f>FLOOR(VLOOKUP($D1337,Sheet1!$M$5:$O$192,3,TRUE),1)</f>
        <v>84</v>
      </c>
      <c r="S1337" s="42" t="str">
        <f>VLOOKUP($D1337,Sheet1!$M$5:$O$192,2,TRUE)</f>
        <v>.//|</v>
      </c>
      <c r="T1337" s="117">
        <f>IF(ABS(D1337-VLOOKUP($D1337,Sheet1!$M$5:$T$192,8,TRUE))&lt;10^-10,"SoCA",D1337-VLOOKUP($D1337,Sheet1!$M$5:$T$192,8,TRUE))</f>
        <v>0.14968722794119316</v>
      </c>
      <c r="U1337" s="109" t="str">
        <f>IF(VLOOKUP($D1337,Sheet1!$M$5:$U$192,9,TRUE)=0,"",IF(ABS(D1337-VLOOKUP($D1337,Sheet1!$M$5:$U$192,9,TRUE))&lt;10^-10,"Alt.",D1337-VLOOKUP($D1337,Sheet1!$M$5:$U$192,9,TRUE)))</f>
        <v/>
      </c>
      <c r="V1337" s="132">
        <f>$D1337-Sheet1!$M$3*$R1337</f>
        <v>0.2233932349483041</v>
      </c>
      <c r="Z1337" s="6"/>
      <c r="AA1337" s="61"/>
    </row>
    <row r="1338" spans="1:27" ht="13.5">
      <c r="A1338" t="s">
        <v>1767</v>
      </c>
      <c r="B1338">
        <v>164025</v>
      </c>
      <c r="C1338">
        <v>167936</v>
      </c>
      <c r="D1338" s="13">
        <f t="shared" si="27"/>
        <v>40.794970888931417</v>
      </c>
      <c r="E1338" s="61">
        <v>41</v>
      </c>
      <c r="F1338" s="65">
        <v>80.020069073827585</v>
      </c>
      <c r="G1338" s="6">
        <v>1674</v>
      </c>
      <c r="H1338" s="6">
        <v>1616</v>
      </c>
      <c r="I1338" s="65">
        <v>-10.511894981802206</v>
      </c>
      <c r="J1338" s="6">
        <f>VLOOKUP($D1338,Sheet1!$A$5:$C$192,3,TRUE)</f>
        <v>8</v>
      </c>
      <c r="K1338" s="42" t="str">
        <f>VLOOKUP($D1338,Sheet1!$A$5:$C$192,2,TRUE)</f>
        <v>//|</v>
      </c>
      <c r="L1338" s="6">
        <f>FLOOR(VLOOKUP($D1338,Sheet1!$D$5:$F$192,3,TRUE),1)</f>
        <v>17</v>
      </c>
      <c r="M1338" s="42" t="str">
        <f>VLOOKUP($D1338,Sheet1!$D$5:$F$192,2,TRUE)</f>
        <v>~|\</v>
      </c>
      <c r="N1338" s="23">
        <f>FLOOR(VLOOKUP($D1338,Sheet1!$G$5:$I$192,3,TRUE),1)</f>
        <v>21</v>
      </c>
      <c r="O1338" s="42" t="str">
        <f>VLOOKUP($D1338,Sheet1!$G$5:$I$192,2,TRUE)</f>
        <v>.//|</v>
      </c>
      <c r="P1338" s="23">
        <v>1</v>
      </c>
      <c r="Q1338" s="43" t="str">
        <f>VLOOKUP($D1338,Sheet1!$J$5:$L$192,2,TRUE)</f>
        <v>.//|</v>
      </c>
      <c r="R1338" s="23">
        <f>FLOOR(VLOOKUP($D1338,Sheet1!$M$5:$O$192,3,TRUE),1)</f>
        <v>84</v>
      </c>
      <c r="S1338" s="42" t="str">
        <f>VLOOKUP($D1338,Sheet1!$M$5:$O$192,2,TRUE)</f>
        <v>'(|(</v>
      </c>
      <c r="T1338" s="117">
        <f>IF(ABS(D1338-VLOOKUP($D1338,Sheet1!$M$5:$T$192,8,TRUE))&lt;10^-10,"SoCA",D1338-VLOOKUP($D1338,Sheet1!$M$5:$T$192,8,TRUE))</f>
        <v>-6.4523129855658112E-2</v>
      </c>
      <c r="U1338" s="109" t="str">
        <f>IF(VLOOKUP($D1338,Sheet1!$M$5:$U$192,9,TRUE)=0,"",IF(ABS(D1338-VLOOKUP($D1338,Sheet1!$M$5:$U$192,9,TRUE))&lt;10^-10,"Alt.",D1338-VLOOKUP($D1338,Sheet1!$M$5:$U$192,9,TRUE)))</f>
        <v/>
      </c>
      <c r="V1338" s="132">
        <f>$D1338-Sheet1!$M$3*$R1338</f>
        <v>-0.19018150955700008</v>
      </c>
      <c r="Z1338" s="6"/>
      <c r="AA1338" s="61"/>
    </row>
    <row r="1339" spans="1:27" ht="13.5">
      <c r="A1339" t="s">
        <v>1277</v>
      </c>
      <c r="B1339">
        <v>459</v>
      </c>
      <c r="C1339">
        <v>470</v>
      </c>
      <c r="D1339" s="13">
        <f t="shared" si="27"/>
        <v>40.999923781430105</v>
      </c>
      <c r="E1339" s="61">
        <v>47</v>
      </c>
      <c r="F1339" s="65">
        <v>83.436159235907681</v>
      </c>
      <c r="G1339" s="6">
        <v>1185</v>
      </c>
      <c r="H1339" s="6">
        <v>1126</v>
      </c>
      <c r="I1339" s="65">
        <v>-5.5245146780773897</v>
      </c>
      <c r="J1339" s="6">
        <f>VLOOKUP($D1339,Sheet1!$A$5:$C$192,3,TRUE)</f>
        <v>8</v>
      </c>
      <c r="K1339" s="42" t="str">
        <f>VLOOKUP($D1339,Sheet1!$A$5:$C$192,2,TRUE)</f>
        <v>//|</v>
      </c>
      <c r="L1339" s="6">
        <f>FLOOR(VLOOKUP($D1339,Sheet1!$D$5:$F$192,3,TRUE),1)</f>
        <v>17</v>
      </c>
      <c r="M1339" s="42" t="str">
        <f>VLOOKUP($D1339,Sheet1!$D$5:$F$192,2,TRUE)</f>
        <v>~|\</v>
      </c>
      <c r="N1339" s="23">
        <f>FLOOR(VLOOKUP($D1339,Sheet1!$G$5:$I$192,3,TRUE),1)</f>
        <v>21</v>
      </c>
      <c r="O1339" s="42" t="str">
        <f>VLOOKUP($D1339,Sheet1!$G$5:$I$192,2,TRUE)</f>
        <v>.//|</v>
      </c>
      <c r="P1339" s="23">
        <v>1</v>
      </c>
      <c r="Q1339" s="43" t="str">
        <f>VLOOKUP($D1339,Sheet1!$J$5:$L$192,2,TRUE)</f>
        <v>.//|</v>
      </c>
      <c r="R1339" s="23">
        <f>FLOOR(VLOOKUP($D1339,Sheet1!$M$5:$O$192,3,TRUE),1)</f>
        <v>84</v>
      </c>
      <c r="S1339" s="42" t="str">
        <f>VLOOKUP($D1339,Sheet1!$M$5:$O$192,2,TRUE)</f>
        <v>.//|</v>
      </c>
      <c r="T1339" s="117">
        <f>IF(ABS(D1339-VLOOKUP($D1339,Sheet1!$M$5:$T$192,8,TRUE))&lt;10^-10,"SoCA",D1339-VLOOKUP($D1339,Sheet1!$M$5:$T$192,8,TRUE))</f>
        <v>-5.893462406542227E-2</v>
      </c>
      <c r="U1339" s="109" t="str">
        <f>IF(VLOOKUP($D1339,Sheet1!$M$5:$U$192,9,TRUE)=0,"",IF(ABS(D1339-VLOOKUP($D1339,Sheet1!$M$5:$U$192,9,TRUE))&lt;10^-10,"Alt.",D1339-VLOOKUP($D1339,Sheet1!$M$5:$U$192,9,TRUE)))</f>
        <v/>
      </c>
      <c r="V1339" s="132">
        <f>$D1339-Sheet1!$M$3*$R1339</f>
        <v>1.4771382941688671E-2</v>
      </c>
      <c r="Z1339" s="6"/>
      <c r="AA1339" s="61"/>
    </row>
    <row r="1340" spans="1:27" ht="13.5">
      <c r="A1340" t="s">
        <v>874</v>
      </c>
      <c r="B1340">
        <v>208</v>
      </c>
      <c r="C1340">
        <v>213</v>
      </c>
      <c r="D1340" s="13">
        <f t="shared" si="27"/>
        <v>41.123882501695157</v>
      </c>
      <c r="E1340" s="61" t="s">
        <v>1931</v>
      </c>
      <c r="F1340" s="65">
        <v>84.060190748864201</v>
      </c>
      <c r="G1340" s="6">
        <v>785</v>
      </c>
      <c r="H1340" s="6">
        <v>721</v>
      </c>
      <c r="I1340" s="65">
        <v>-1.5321472680903141</v>
      </c>
      <c r="J1340" s="6">
        <f>VLOOKUP($D1340,Sheet1!$A$5:$C$192,3,TRUE)</f>
        <v>8</v>
      </c>
      <c r="K1340" s="42" t="str">
        <f>VLOOKUP($D1340,Sheet1!$A$5:$C$192,2,TRUE)</f>
        <v>//|</v>
      </c>
      <c r="L1340" s="6">
        <f>FLOOR(VLOOKUP($D1340,Sheet1!$D$5:$F$192,3,TRUE),1)</f>
        <v>17</v>
      </c>
      <c r="M1340" s="42" t="str">
        <f>VLOOKUP($D1340,Sheet1!$D$5:$F$192,2,TRUE)</f>
        <v>~|\</v>
      </c>
      <c r="N1340" s="23">
        <f>FLOOR(VLOOKUP($D1340,Sheet1!$G$5:$I$192,3,TRUE),1)</f>
        <v>21</v>
      </c>
      <c r="O1340" s="42" t="str">
        <f>VLOOKUP($D1340,Sheet1!$G$5:$I$192,2,TRUE)</f>
        <v>.//|</v>
      </c>
      <c r="P1340" s="23">
        <v>1</v>
      </c>
      <c r="Q1340" s="43" t="str">
        <f>VLOOKUP($D1340,Sheet1!$J$5:$L$192,2,TRUE)</f>
        <v>.//|</v>
      </c>
      <c r="R1340" s="23">
        <f>FLOOR(VLOOKUP($D1340,Sheet1!$M$5:$O$192,3,TRUE),1)</f>
        <v>84</v>
      </c>
      <c r="S1340" s="42" t="str">
        <f>VLOOKUP($D1340,Sheet1!$M$5:$O$192,2,TRUE)</f>
        <v>.//|</v>
      </c>
      <c r="T1340" s="117">
        <f>IF(ABS(D1340-VLOOKUP($D1340,Sheet1!$M$5:$T$192,8,TRUE))&lt;10^-10,"SoCA",D1340-VLOOKUP($D1340,Sheet1!$M$5:$T$192,8,TRUE))</f>
        <v>6.50240961996289E-2</v>
      </c>
      <c r="U1340" s="109" t="str">
        <f>IF(VLOOKUP($D1340,Sheet1!$M$5:$U$192,9,TRUE)=0,"",IF(ABS(D1340-VLOOKUP($D1340,Sheet1!$M$5:$U$192,9,TRUE))&lt;10^-10,"Alt.",D1340-VLOOKUP($D1340,Sheet1!$M$5:$U$192,9,TRUE)))</f>
        <v/>
      </c>
      <c r="V1340" s="132">
        <f>$D1340-Sheet1!$M$3*$R1340</f>
        <v>0.13873010320673984</v>
      </c>
      <c r="Z1340" s="6"/>
      <c r="AA1340" s="61"/>
    </row>
    <row r="1341" spans="1:27" ht="13.5">
      <c r="A1341" t="s">
        <v>1769</v>
      </c>
      <c r="B1341">
        <v>32805</v>
      </c>
      <c r="C1341">
        <v>33592</v>
      </c>
      <c r="D1341" s="13">
        <f t="shared" si="27"/>
        <v>41.042366614086227</v>
      </c>
      <c r="E1341" s="61">
        <v>19</v>
      </c>
      <c r="F1341" s="65">
        <v>94.85339112658437</v>
      </c>
      <c r="G1341" s="6">
        <v>1675</v>
      </c>
      <c r="H1341" s="6">
        <v>1618</v>
      </c>
      <c r="I1341" s="65">
        <v>-10.527128037911686</v>
      </c>
      <c r="J1341" s="6">
        <f>VLOOKUP($D1341,Sheet1!$A$5:$C$192,3,TRUE)</f>
        <v>8</v>
      </c>
      <c r="K1341" s="42" t="str">
        <f>VLOOKUP($D1341,Sheet1!$A$5:$C$192,2,TRUE)</f>
        <v>//|</v>
      </c>
      <c r="L1341" s="6">
        <f>FLOOR(VLOOKUP($D1341,Sheet1!$D$5:$F$192,3,TRUE),1)</f>
        <v>17</v>
      </c>
      <c r="M1341" s="42" t="str">
        <f>VLOOKUP($D1341,Sheet1!$D$5:$F$192,2,TRUE)</f>
        <v>~|\</v>
      </c>
      <c r="N1341" s="23">
        <f>FLOOR(VLOOKUP($D1341,Sheet1!$G$5:$I$192,3,TRUE),1)</f>
        <v>21</v>
      </c>
      <c r="O1341" s="42" t="str">
        <f>VLOOKUP($D1341,Sheet1!$G$5:$I$192,2,TRUE)</f>
        <v>.//|</v>
      </c>
      <c r="P1341" s="23">
        <v>1</v>
      </c>
      <c r="Q1341" s="43" t="str">
        <f>VLOOKUP($D1341,Sheet1!$J$5:$L$192,2,TRUE)</f>
        <v>.//|</v>
      </c>
      <c r="R1341" s="23">
        <f>FLOOR(VLOOKUP($D1341,Sheet1!$M$5:$O$192,3,TRUE),1)</f>
        <v>84</v>
      </c>
      <c r="S1341" s="42" t="str">
        <f>VLOOKUP($D1341,Sheet1!$M$5:$O$192,2,TRUE)</f>
        <v>.//|</v>
      </c>
      <c r="T1341" s="117">
        <f>IF(ABS(D1341-VLOOKUP($D1341,Sheet1!$M$5:$T$192,8,TRUE))&lt;10^-10,"SoCA",D1341-VLOOKUP($D1341,Sheet1!$M$5:$T$192,8,TRUE))</f>
        <v>-1.6491791409301015E-2</v>
      </c>
      <c r="U1341" s="109" t="str">
        <f>IF(VLOOKUP($D1341,Sheet1!$M$5:$U$192,9,TRUE)=0,"",IF(ABS(D1341-VLOOKUP($D1341,Sheet1!$M$5:$U$192,9,TRUE))&lt;10^-10,"Alt.",D1341-VLOOKUP($D1341,Sheet1!$M$5:$U$192,9,TRUE)))</f>
        <v/>
      </c>
      <c r="V1341" s="132">
        <f>$D1341-Sheet1!$M$3*$R1341</f>
        <v>5.7214215597809925E-2</v>
      </c>
      <c r="Z1341" s="6"/>
      <c r="AA1341" s="61"/>
    </row>
    <row r="1342" spans="1:27" ht="13.5">
      <c r="A1342" t="s">
        <v>1180</v>
      </c>
      <c r="B1342">
        <v>74752</v>
      </c>
      <c r="C1342">
        <v>76545</v>
      </c>
      <c r="D1342" s="13">
        <f t="shared" si="27"/>
        <v>41.035155735651017</v>
      </c>
      <c r="E1342" s="61" t="s">
        <v>1931</v>
      </c>
      <c r="F1342" s="65">
        <v>103.85294108511431</v>
      </c>
      <c r="G1342" s="6">
        <v>1083</v>
      </c>
      <c r="H1342" s="6">
        <v>1029</v>
      </c>
      <c r="I1342" s="65">
        <v>4.4733159621442313</v>
      </c>
      <c r="J1342" s="6">
        <f>VLOOKUP($D1342,Sheet1!$A$5:$C$192,3,TRUE)</f>
        <v>8</v>
      </c>
      <c r="K1342" s="42" t="str">
        <f>VLOOKUP($D1342,Sheet1!$A$5:$C$192,2,TRUE)</f>
        <v>//|</v>
      </c>
      <c r="L1342" s="6">
        <f>FLOOR(VLOOKUP($D1342,Sheet1!$D$5:$F$192,3,TRUE),1)</f>
        <v>17</v>
      </c>
      <c r="M1342" s="42" t="str">
        <f>VLOOKUP($D1342,Sheet1!$D$5:$F$192,2,TRUE)</f>
        <v>~|\</v>
      </c>
      <c r="N1342" s="23">
        <f>FLOOR(VLOOKUP($D1342,Sheet1!$G$5:$I$192,3,TRUE),1)</f>
        <v>21</v>
      </c>
      <c r="O1342" s="42" t="str">
        <f>VLOOKUP($D1342,Sheet1!$G$5:$I$192,2,TRUE)</f>
        <v>.//|</v>
      </c>
      <c r="P1342" s="23">
        <v>1</v>
      </c>
      <c r="Q1342" s="43" t="str">
        <f>VLOOKUP($D1342,Sheet1!$J$5:$L$192,2,TRUE)</f>
        <v>.//|</v>
      </c>
      <c r="R1342" s="23">
        <f>FLOOR(VLOOKUP($D1342,Sheet1!$M$5:$O$192,3,TRUE),1)</f>
        <v>84</v>
      </c>
      <c r="S1342" s="42" t="str">
        <f>VLOOKUP($D1342,Sheet1!$M$5:$O$192,2,TRUE)</f>
        <v>.//|</v>
      </c>
      <c r="T1342" s="117">
        <f>IF(ABS(D1342-VLOOKUP($D1342,Sheet1!$M$5:$T$192,8,TRUE))&lt;10^-10,"SoCA",D1342-VLOOKUP($D1342,Sheet1!$M$5:$T$192,8,TRUE))</f>
        <v>-2.3702669844510638E-2</v>
      </c>
      <c r="U1342" s="109" t="str">
        <f>IF(VLOOKUP($D1342,Sheet1!$M$5:$U$192,9,TRUE)=0,"",IF(ABS(D1342-VLOOKUP($D1342,Sheet1!$M$5:$U$192,9,TRUE))&lt;10^-10,"Alt.",D1342-VLOOKUP($D1342,Sheet1!$M$5:$U$192,9,TRUE)))</f>
        <v/>
      </c>
      <c r="V1342" s="132">
        <f>$D1342-Sheet1!$M$3*$R1342</f>
        <v>5.0003337162600303E-2</v>
      </c>
      <c r="Z1342" s="6"/>
      <c r="AA1342" s="61"/>
    </row>
    <row r="1343" spans="1:27" ht="13.5">
      <c r="A1343" t="s">
        <v>489</v>
      </c>
      <c r="B1343">
        <v>712</v>
      </c>
      <c r="C1343">
        <v>729</v>
      </c>
      <c r="D1343" s="13">
        <f t="shared" si="27"/>
        <v>40.849888032647158</v>
      </c>
      <c r="E1343" s="61" t="s">
        <v>1931</v>
      </c>
      <c r="F1343" s="65">
        <v>107.73689442546285</v>
      </c>
      <c r="G1343" s="6">
        <v>356</v>
      </c>
      <c r="H1343" s="6">
        <v>330</v>
      </c>
      <c r="I1343" s="65">
        <v>3.484723569585169</v>
      </c>
      <c r="J1343" s="6">
        <f>VLOOKUP($D1343,Sheet1!$A$5:$C$192,3,TRUE)</f>
        <v>8</v>
      </c>
      <c r="K1343" s="42" t="str">
        <f>VLOOKUP($D1343,Sheet1!$A$5:$C$192,2,TRUE)</f>
        <v>//|</v>
      </c>
      <c r="L1343" s="6">
        <f>FLOOR(VLOOKUP($D1343,Sheet1!$D$5:$F$192,3,TRUE),1)</f>
        <v>17</v>
      </c>
      <c r="M1343" s="42" t="str">
        <f>VLOOKUP($D1343,Sheet1!$D$5:$F$192,2,TRUE)</f>
        <v>~|\</v>
      </c>
      <c r="N1343" s="23">
        <f>FLOOR(VLOOKUP($D1343,Sheet1!$G$5:$I$192,3,TRUE),1)</f>
        <v>21</v>
      </c>
      <c r="O1343" s="42" t="str">
        <f>VLOOKUP($D1343,Sheet1!$G$5:$I$192,2,TRUE)</f>
        <v>.//|</v>
      </c>
      <c r="P1343" s="23">
        <v>1</v>
      </c>
      <c r="Q1343" s="43" t="str">
        <f>VLOOKUP($D1343,Sheet1!$J$5:$L$192,2,TRUE)</f>
        <v>.//|</v>
      </c>
      <c r="R1343" s="23">
        <f>FLOOR(VLOOKUP($D1343,Sheet1!$M$5:$O$192,3,TRUE),1)</f>
        <v>84</v>
      </c>
      <c r="S1343" s="42" t="str">
        <f>VLOOKUP($D1343,Sheet1!$M$5:$O$192,2,TRUE)</f>
        <v>'(|(</v>
      </c>
      <c r="T1343" s="117">
        <f>IF(ABS(D1343-VLOOKUP($D1343,Sheet1!$M$5:$T$192,8,TRUE))&lt;10^-10,"SoCA",D1343-VLOOKUP($D1343,Sheet1!$M$5:$T$192,8,TRUE))</f>
        <v>-9.6059861399169222E-3</v>
      </c>
      <c r="U1343" s="109" t="str">
        <f>IF(VLOOKUP($D1343,Sheet1!$M$5:$U$192,9,TRUE)=0,"",IF(ABS(D1343-VLOOKUP($D1343,Sheet1!$M$5:$U$192,9,TRUE))&lt;10^-10,"Alt.",D1343-VLOOKUP($D1343,Sheet1!$M$5:$U$192,9,TRUE)))</f>
        <v/>
      </c>
      <c r="V1343" s="132">
        <f>$D1343-Sheet1!$M$3*$R1343</f>
        <v>-0.13526436584125889</v>
      </c>
      <c r="Z1343" s="6"/>
      <c r="AA1343" s="61"/>
    </row>
    <row r="1344" spans="1:27" ht="13.5">
      <c r="A1344" t="s">
        <v>1367</v>
      </c>
      <c r="B1344">
        <v>19220</v>
      </c>
      <c r="C1344">
        <v>19683</v>
      </c>
      <c r="D1344" s="13">
        <f t="shared" si="27"/>
        <v>41.210148995151528</v>
      </c>
      <c r="E1344" s="61">
        <v>31</v>
      </c>
      <c r="F1344" s="65">
        <v>114.21932698158973</v>
      </c>
      <c r="G1344" s="6">
        <v>1281</v>
      </c>
      <c r="H1344" s="6">
        <v>1216</v>
      </c>
      <c r="I1344" s="65">
        <v>6.4625409896216297</v>
      </c>
      <c r="J1344" s="6">
        <f>VLOOKUP($D1344,Sheet1!$A$5:$C$192,3,TRUE)</f>
        <v>8</v>
      </c>
      <c r="K1344" s="42" t="str">
        <f>VLOOKUP($D1344,Sheet1!$A$5:$C$192,2,TRUE)</f>
        <v>//|</v>
      </c>
      <c r="L1344" s="6">
        <f>FLOOR(VLOOKUP($D1344,Sheet1!$D$5:$F$192,3,TRUE),1)</f>
        <v>17</v>
      </c>
      <c r="M1344" s="42" t="str">
        <f>VLOOKUP($D1344,Sheet1!$D$5:$F$192,2,TRUE)</f>
        <v>~|\</v>
      </c>
      <c r="N1344" s="23">
        <f>FLOOR(VLOOKUP($D1344,Sheet1!$G$5:$I$192,3,TRUE),1)</f>
        <v>21</v>
      </c>
      <c r="O1344" s="42" t="str">
        <f>VLOOKUP($D1344,Sheet1!$G$5:$I$192,2,TRUE)</f>
        <v>.//|</v>
      </c>
      <c r="P1344" s="23">
        <v>1</v>
      </c>
      <c r="Q1344" s="43" t="str">
        <f>VLOOKUP($D1344,Sheet1!$J$5:$L$192,2,TRUE)</f>
        <v>.//|</v>
      </c>
      <c r="R1344" s="23">
        <f>FLOOR(VLOOKUP($D1344,Sheet1!$M$5:$O$192,3,TRUE),1)</f>
        <v>84</v>
      </c>
      <c r="S1344" s="42" t="str">
        <f>VLOOKUP($D1344,Sheet1!$M$5:$O$192,2,TRUE)</f>
        <v>.//|</v>
      </c>
      <c r="T1344" s="117">
        <f>IF(ABS(D1344-VLOOKUP($D1344,Sheet1!$M$5:$T$192,8,TRUE))&lt;10^-10,"SoCA",D1344-VLOOKUP($D1344,Sheet1!$M$5:$T$192,8,TRUE))</f>
        <v>0.15129058965599995</v>
      </c>
      <c r="U1344" s="109" t="str">
        <f>IF(VLOOKUP($D1344,Sheet1!$M$5:$U$192,9,TRUE)=0,"",IF(ABS(D1344-VLOOKUP($D1344,Sheet1!$M$5:$U$192,9,TRUE))&lt;10^-10,"Alt.",D1344-VLOOKUP($D1344,Sheet1!$M$5:$U$192,9,TRUE)))</f>
        <v/>
      </c>
      <c r="V1344" s="132">
        <f>$D1344-Sheet1!$M$3*$R1344</f>
        <v>0.22499659666311089</v>
      </c>
      <c r="Z1344" s="6"/>
      <c r="AA1344" s="61"/>
    </row>
    <row r="1345" spans="1:27" ht="13.5">
      <c r="A1345" t="s">
        <v>603</v>
      </c>
      <c r="B1345">
        <v>7040</v>
      </c>
      <c r="C1345">
        <v>7209</v>
      </c>
      <c r="D1345" s="13">
        <f t="shared" si="27"/>
        <v>41.068464391635331</v>
      </c>
      <c r="E1345" s="61" t="s">
        <v>1931</v>
      </c>
      <c r="F1345" s="65">
        <v>126.24229835830691</v>
      </c>
      <c r="G1345" s="6">
        <v>494</v>
      </c>
      <c r="H1345" s="6">
        <v>448</v>
      </c>
      <c r="I1345" s="65">
        <v>1.4712650268452361</v>
      </c>
      <c r="J1345" s="6">
        <f>VLOOKUP($D1345,Sheet1!$A$5:$C$192,3,TRUE)</f>
        <v>8</v>
      </c>
      <c r="K1345" s="42" t="str">
        <f>VLOOKUP($D1345,Sheet1!$A$5:$C$192,2,TRUE)</f>
        <v>//|</v>
      </c>
      <c r="L1345" s="6">
        <f>FLOOR(VLOOKUP($D1345,Sheet1!$D$5:$F$192,3,TRUE),1)</f>
        <v>17</v>
      </c>
      <c r="M1345" s="42" t="str">
        <f>VLOOKUP($D1345,Sheet1!$D$5:$F$192,2,TRUE)</f>
        <v>~|\</v>
      </c>
      <c r="N1345" s="23">
        <f>FLOOR(VLOOKUP($D1345,Sheet1!$G$5:$I$192,3,TRUE),1)</f>
        <v>21</v>
      </c>
      <c r="O1345" s="42" t="str">
        <f>VLOOKUP($D1345,Sheet1!$G$5:$I$192,2,TRUE)</f>
        <v>.//|</v>
      </c>
      <c r="P1345" s="23">
        <v>1</v>
      </c>
      <c r="Q1345" s="43" t="str">
        <f>VLOOKUP($D1345,Sheet1!$J$5:$L$192,2,TRUE)</f>
        <v>.//|</v>
      </c>
      <c r="R1345" s="23">
        <f>FLOOR(VLOOKUP($D1345,Sheet1!$M$5:$O$192,3,TRUE),1)</f>
        <v>84</v>
      </c>
      <c r="S1345" s="42" t="str">
        <f>VLOOKUP($D1345,Sheet1!$M$5:$O$192,2,TRUE)</f>
        <v>.//|</v>
      </c>
      <c r="T1345" s="117">
        <f>IF(ABS(D1345-VLOOKUP($D1345,Sheet1!$M$5:$T$192,8,TRUE))&lt;10^-10,"SoCA",D1345-VLOOKUP($D1345,Sheet1!$M$5:$T$192,8,TRUE))</f>
        <v>9.6059861398032353E-3</v>
      </c>
      <c r="U1345" s="109" t="str">
        <f>IF(VLOOKUP($D1345,Sheet1!$M$5:$U$192,9,TRUE)=0,"",IF(ABS(D1345-VLOOKUP($D1345,Sheet1!$M$5:$U$192,9,TRUE))&lt;10^-10,"Alt.",D1345-VLOOKUP($D1345,Sheet1!$M$5:$U$192,9,TRUE)))</f>
        <v/>
      </c>
      <c r="V1345" s="132">
        <f>$D1345-Sheet1!$M$3*$R1345</f>
        <v>8.3311993146914176E-2</v>
      </c>
      <c r="Z1345" s="6"/>
      <c r="AA1345" s="61"/>
    </row>
    <row r="1346" spans="1:27" ht="13.5">
      <c r="A1346" t="s">
        <v>1272</v>
      </c>
      <c r="B1346">
        <v>198656</v>
      </c>
      <c r="C1346">
        <v>203391</v>
      </c>
      <c r="D1346" s="13">
        <f t="shared" si="27"/>
        <v>40.780168762796507</v>
      </c>
      <c r="E1346" s="61" t="s">
        <v>1931</v>
      </c>
      <c r="F1346" s="65">
        <v>132.0456938082682</v>
      </c>
      <c r="G1346" s="6">
        <v>1180</v>
      </c>
      <c r="H1346" s="6">
        <v>1121</v>
      </c>
      <c r="I1346" s="65">
        <v>5.489016439031003</v>
      </c>
      <c r="J1346" s="6">
        <f>VLOOKUP($D1346,Sheet1!$A$5:$C$192,3,TRUE)</f>
        <v>8</v>
      </c>
      <c r="K1346" s="42" t="str">
        <f>VLOOKUP($D1346,Sheet1!$A$5:$C$192,2,TRUE)</f>
        <v>//|</v>
      </c>
      <c r="L1346" s="6">
        <f>FLOOR(VLOOKUP($D1346,Sheet1!$D$5:$F$192,3,TRUE),1)</f>
        <v>17</v>
      </c>
      <c r="M1346" s="42" t="str">
        <f>VLOOKUP($D1346,Sheet1!$D$5:$F$192,2,TRUE)</f>
        <v>~|\</v>
      </c>
      <c r="N1346" s="23">
        <f>FLOOR(VLOOKUP($D1346,Sheet1!$G$5:$I$192,3,TRUE),1)</f>
        <v>21</v>
      </c>
      <c r="O1346" s="42" t="str">
        <f>VLOOKUP($D1346,Sheet1!$G$5:$I$192,2,TRUE)</f>
        <v>.//|</v>
      </c>
      <c r="P1346" s="23">
        <v>1</v>
      </c>
      <c r="Q1346" s="43" t="str">
        <f>VLOOKUP($D1346,Sheet1!$J$5:$L$192,2,TRUE)</f>
        <v>.//|</v>
      </c>
      <c r="R1346" s="23">
        <f>FLOOR(VLOOKUP($D1346,Sheet1!$M$5:$O$192,3,TRUE),1)</f>
        <v>84</v>
      </c>
      <c r="S1346" s="42" t="str">
        <f>VLOOKUP($D1346,Sheet1!$M$5:$O$192,2,TRUE)</f>
        <v>'(|(</v>
      </c>
      <c r="T1346" s="117">
        <f>IF(ABS(D1346-VLOOKUP($D1346,Sheet1!$M$5:$T$192,8,TRUE))&lt;10^-10,"SoCA",D1346-VLOOKUP($D1346,Sheet1!$M$5:$T$192,8,TRUE))</f>
        <v>-7.9325255990568166E-2</v>
      </c>
      <c r="U1346" s="109" t="str">
        <f>IF(VLOOKUP($D1346,Sheet1!$M$5:$U$192,9,TRUE)=0,"",IF(ABS(D1346-VLOOKUP($D1346,Sheet1!$M$5:$U$192,9,TRUE))&lt;10^-10,"Alt.",D1346-VLOOKUP($D1346,Sheet1!$M$5:$U$192,9,TRUE)))</f>
        <v/>
      </c>
      <c r="V1346" s="132">
        <f>$D1346-Sheet1!$M$3*$R1346</f>
        <v>-0.20498363569191014</v>
      </c>
      <c r="Z1346" s="6"/>
      <c r="AA1346" s="61"/>
    </row>
    <row r="1347" spans="1:27" ht="13.5">
      <c r="A1347" t="s">
        <v>1678</v>
      </c>
      <c r="B1347">
        <v>25427968</v>
      </c>
      <c r="C1347">
        <v>26040609</v>
      </c>
      <c r="D1347" s="13">
        <f t="shared" si="27"/>
        <v>41.216412698345607</v>
      </c>
      <c r="E1347" s="61" t="s">
        <v>1931</v>
      </c>
      <c r="F1347" s="65">
        <v>195.89427100143195</v>
      </c>
      <c r="G1347" s="6">
        <v>1583</v>
      </c>
      <c r="H1347" s="6">
        <v>1527</v>
      </c>
      <c r="I1347" s="65">
        <v>9.4621553105960565</v>
      </c>
      <c r="J1347" s="6">
        <f>VLOOKUP($D1347,Sheet1!$A$5:$C$192,3,TRUE)</f>
        <v>8</v>
      </c>
      <c r="K1347" s="42" t="str">
        <f>VLOOKUP($D1347,Sheet1!$A$5:$C$192,2,TRUE)</f>
        <v>//|</v>
      </c>
      <c r="L1347" s="6">
        <f>FLOOR(VLOOKUP($D1347,Sheet1!$D$5:$F$192,3,TRUE),1)</f>
        <v>17</v>
      </c>
      <c r="M1347" s="42" t="str">
        <f>VLOOKUP($D1347,Sheet1!$D$5:$F$192,2,TRUE)</f>
        <v>~|\</v>
      </c>
      <c r="N1347" s="23">
        <f>FLOOR(VLOOKUP($D1347,Sheet1!$G$5:$I$192,3,TRUE),1)</f>
        <v>21</v>
      </c>
      <c r="O1347" s="42" t="str">
        <f>VLOOKUP($D1347,Sheet1!$G$5:$I$192,2,TRUE)</f>
        <v>.//|</v>
      </c>
      <c r="P1347" s="23">
        <v>1</v>
      </c>
      <c r="Q1347" s="43" t="str">
        <f>VLOOKUP($D1347,Sheet1!$J$5:$L$192,2,TRUE)</f>
        <v>.//|</v>
      </c>
      <c r="R1347" s="23">
        <f>FLOOR(VLOOKUP($D1347,Sheet1!$M$5:$O$192,3,TRUE),1)</f>
        <v>84</v>
      </c>
      <c r="S1347" s="42" t="str">
        <f>VLOOKUP($D1347,Sheet1!$M$5:$O$192,2,TRUE)</f>
        <v>.//|</v>
      </c>
      <c r="T1347" s="117">
        <f>IF(ABS(D1347-VLOOKUP($D1347,Sheet1!$M$5:$T$192,8,TRUE))&lt;10^-10,"SoCA",D1347-VLOOKUP($D1347,Sheet1!$M$5:$T$192,8,TRUE))</f>
        <v>0.15755429285007949</v>
      </c>
      <c r="U1347" s="109" t="str">
        <f>IF(VLOOKUP($D1347,Sheet1!$M$5:$U$192,9,TRUE)=0,"",IF(ABS(D1347-VLOOKUP($D1347,Sheet1!$M$5:$U$192,9,TRUE))&lt;10^-10,"Alt.",D1347-VLOOKUP($D1347,Sheet1!$M$5:$U$192,9,TRUE)))</f>
        <v/>
      </c>
      <c r="V1347" s="132">
        <f>$D1347-Sheet1!$M$3*$R1347</f>
        <v>0.23126029985719043</v>
      </c>
      <c r="Z1347" s="6"/>
      <c r="AA1347" s="61"/>
    </row>
    <row r="1348" spans="1:27" ht="13.5">
      <c r="A1348" t="s">
        <v>1179</v>
      </c>
      <c r="B1348">
        <v>134217728</v>
      </c>
      <c r="C1348">
        <v>137437641</v>
      </c>
      <c r="D1348" s="13">
        <f t="shared" ref="D1348:D1410" si="28">1200*LN($C1348/$B1348)/LN(2)</f>
        <v>41.042325923206697</v>
      </c>
      <c r="E1348" s="61" t="s">
        <v>1931</v>
      </c>
      <c r="F1348" s="65">
        <v>381.47212582761421</v>
      </c>
      <c r="G1348" s="6">
        <v>1082</v>
      </c>
      <c r="H1348" s="6">
        <v>1028</v>
      </c>
      <c r="I1348" s="65">
        <v>4.4728744675740124</v>
      </c>
      <c r="J1348" s="6">
        <f>VLOOKUP($D1348,Sheet1!$A$5:$C$192,3,TRUE)</f>
        <v>8</v>
      </c>
      <c r="K1348" s="42" t="str">
        <f>VLOOKUP($D1348,Sheet1!$A$5:$C$192,2,TRUE)</f>
        <v>//|</v>
      </c>
      <c r="L1348" s="6">
        <f>FLOOR(VLOOKUP($D1348,Sheet1!$D$5:$F$192,3,TRUE),1)</f>
        <v>17</v>
      </c>
      <c r="M1348" s="42" t="str">
        <f>VLOOKUP($D1348,Sheet1!$D$5:$F$192,2,TRUE)</f>
        <v>~|\</v>
      </c>
      <c r="N1348" s="23">
        <f>FLOOR(VLOOKUP($D1348,Sheet1!$G$5:$I$192,3,TRUE),1)</f>
        <v>21</v>
      </c>
      <c r="O1348" s="42" t="str">
        <f>VLOOKUP($D1348,Sheet1!$G$5:$I$192,2,TRUE)</f>
        <v>.//|</v>
      </c>
      <c r="P1348" s="23">
        <v>1</v>
      </c>
      <c r="Q1348" s="43" t="str">
        <f>VLOOKUP($D1348,Sheet1!$J$5:$L$192,2,TRUE)</f>
        <v>.//|</v>
      </c>
      <c r="R1348" s="23">
        <f>FLOOR(VLOOKUP($D1348,Sheet1!$M$5:$O$192,3,TRUE),1)</f>
        <v>84</v>
      </c>
      <c r="S1348" s="42" t="str">
        <f>VLOOKUP($D1348,Sheet1!$M$5:$O$192,2,TRUE)</f>
        <v>.//|</v>
      </c>
      <c r="T1348" s="117">
        <f>IF(ABS(D1348-VLOOKUP($D1348,Sheet1!$M$5:$T$192,8,TRUE))&lt;10^-10,"SoCA",D1348-VLOOKUP($D1348,Sheet1!$M$5:$T$192,8,TRUE))</f>
        <v>-1.6532482288830863E-2</v>
      </c>
      <c r="U1348" s="109" t="str">
        <f>IF(VLOOKUP($D1348,Sheet1!$M$5:$U$192,9,TRUE)=0,"",IF(ABS(D1348-VLOOKUP($D1348,Sheet1!$M$5:$U$192,9,TRUE))&lt;10^-10,"Alt.",D1348-VLOOKUP($D1348,Sheet1!$M$5:$U$192,9,TRUE)))</f>
        <v/>
      </c>
      <c r="V1348" s="132">
        <f>$D1348-Sheet1!$M$3*$R1348</f>
        <v>5.7173524718280078E-2</v>
      </c>
      <c r="Z1348" s="6"/>
      <c r="AA1348" s="61"/>
    </row>
    <row r="1349" spans="1:27" ht="13.5">
      <c r="A1349" t="s">
        <v>1561</v>
      </c>
      <c r="B1349">
        <v>55181312</v>
      </c>
      <c r="C1349">
        <v>56509893</v>
      </c>
      <c r="D1349" s="13">
        <f t="shared" si="28"/>
        <v>41.18843835742971</v>
      </c>
      <c r="E1349" s="61" t="s">
        <v>1931</v>
      </c>
      <c r="F1349" s="65">
        <v>593.90618589369899</v>
      </c>
      <c r="G1349" s="6">
        <v>1467</v>
      </c>
      <c r="H1349" s="6">
        <v>1410</v>
      </c>
      <c r="I1349" s="65">
        <v>8.4638777926823217</v>
      </c>
      <c r="J1349" s="6">
        <f>VLOOKUP($D1349,Sheet1!$A$5:$C$192,3,TRUE)</f>
        <v>8</v>
      </c>
      <c r="K1349" s="42" t="str">
        <f>VLOOKUP($D1349,Sheet1!$A$5:$C$192,2,TRUE)</f>
        <v>//|</v>
      </c>
      <c r="L1349" s="6">
        <f>FLOOR(VLOOKUP($D1349,Sheet1!$D$5:$F$192,3,TRUE),1)</f>
        <v>17</v>
      </c>
      <c r="M1349" s="42" t="str">
        <f>VLOOKUP($D1349,Sheet1!$D$5:$F$192,2,TRUE)</f>
        <v>~|\</v>
      </c>
      <c r="N1349" s="23">
        <f>FLOOR(VLOOKUP($D1349,Sheet1!$G$5:$I$192,3,TRUE),1)</f>
        <v>21</v>
      </c>
      <c r="O1349" s="42" t="str">
        <f>VLOOKUP($D1349,Sheet1!$G$5:$I$192,2,TRUE)</f>
        <v>.//|</v>
      </c>
      <c r="P1349" s="23">
        <v>1</v>
      </c>
      <c r="Q1349" s="43" t="str">
        <f>VLOOKUP($D1349,Sheet1!$J$5:$L$192,2,TRUE)</f>
        <v>.//|</v>
      </c>
      <c r="R1349" s="23">
        <f>FLOOR(VLOOKUP($D1349,Sheet1!$M$5:$O$192,3,TRUE),1)</f>
        <v>84</v>
      </c>
      <c r="S1349" s="42" t="str">
        <f>VLOOKUP($D1349,Sheet1!$M$5:$O$192,2,TRUE)</f>
        <v>.//|</v>
      </c>
      <c r="T1349" s="117">
        <f>IF(ABS(D1349-VLOOKUP($D1349,Sheet1!$M$5:$T$192,8,TRUE))&lt;10^-10,"SoCA",D1349-VLOOKUP($D1349,Sheet1!$M$5:$T$192,8,TRUE))</f>
        <v>0.1295799519341827</v>
      </c>
      <c r="U1349" s="109" t="str">
        <f>IF(VLOOKUP($D1349,Sheet1!$M$5:$U$192,9,TRUE)=0,"",IF(ABS(D1349-VLOOKUP($D1349,Sheet1!$M$5:$U$192,9,TRUE))&lt;10^-10,"Alt.",D1349-VLOOKUP($D1349,Sheet1!$M$5:$U$192,9,TRUE)))</f>
        <v/>
      </c>
      <c r="V1349" s="132">
        <f>$D1349-Sheet1!$M$3*$R1349</f>
        <v>0.20328595894129364</v>
      </c>
      <c r="Z1349" s="6"/>
      <c r="AA1349" s="61"/>
    </row>
    <row r="1350" spans="1:27" ht="13.5">
      <c r="A1350" t="s">
        <v>1563</v>
      </c>
      <c r="B1350">
        <v>2406744064</v>
      </c>
      <c r="C1350">
        <v>2464646211</v>
      </c>
      <c r="D1350" s="13">
        <f t="shared" si="28"/>
        <v>41.157404317789421</v>
      </c>
      <c r="E1350" s="61" t="s">
        <v>1931</v>
      </c>
      <c r="F1350" s="65">
        <v>23160.648718937518</v>
      </c>
      <c r="G1350" s="6">
        <v>1469</v>
      </c>
      <c r="H1350" s="6">
        <v>1412</v>
      </c>
      <c r="I1350" s="65">
        <v>8.4657886715661377</v>
      </c>
      <c r="J1350" s="6">
        <f>VLOOKUP($D1350,Sheet1!$A$5:$C$192,3,TRUE)</f>
        <v>8</v>
      </c>
      <c r="K1350" s="42" t="str">
        <f>VLOOKUP($D1350,Sheet1!$A$5:$C$192,2,TRUE)</f>
        <v>//|</v>
      </c>
      <c r="L1350" s="6">
        <f>FLOOR(VLOOKUP($D1350,Sheet1!$D$5:$F$192,3,TRUE),1)</f>
        <v>17</v>
      </c>
      <c r="M1350" s="42" t="str">
        <f>VLOOKUP($D1350,Sheet1!$D$5:$F$192,2,TRUE)</f>
        <v>~|\</v>
      </c>
      <c r="N1350" s="23">
        <f>FLOOR(VLOOKUP($D1350,Sheet1!$G$5:$I$192,3,TRUE),1)</f>
        <v>21</v>
      </c>
      <c r="O1350" s="42" t="str">
        <f>VLOOKUP($D1350,Sheet1!$G$5:$I$192,2,TRUE)</f>
        <v>.//|</v>
      </c>
      <c r="P1350" s="23">
        <v>1</v>
      </c>
      <c r="Q1350" s="43" t="str">
        <f>VLOOKUP($D1350,Sheet1!$J$5:$L$192,2,TRUE)</f>
        <v>.//|</v>
      </c>
      <c r="R1350" s="23">
        <f>FLOOR(VLOOKUP($D1350,Sheet1!$M$5:$O$192,3,TRUE),1)</f>
        <v>84</v>
      </c>
      <c r="S1350" s="42" t="str">
        <f>VLOOKUP($D1350,Sheet1!$M$5:$O$192,2,TRUE)</f>
        <v>.//|</v>
      </c>
      <c r="T1350" s="117">
        <f>IF(ABS(D1350-VLOOKUP($D1350,Sheet1!$M$5:$T$192,8,TRUE))&lt;10^-10,"SoCA",D1350-VLOOKUP($D1350,Sheet1!$M$5:$T$192,8,TRUE))</f>
        <v>9.8545912293893423E-2</v>
      </c>
      <c r="U1350" s="109" t="str">
        <f>IF(VLOOKUP($D1350,Sheet1!$M$5:$U$192,9,TRUE)=0,"",IF(ABS(D1350-VLOOKUP($D1350,Sheet1!$M$5:$U$192,9,TRUE))&lt;10^-10,"Alt.",D1350-VLOOKUP($D1350,Sheet1!$M$5:$U$192,9,TRUE)))</f>
        <v/>
      </c>
      <c r="V1350" s="132">
        <f>$D1350-Sheet1!$M$3*$R1350</f>
        <v>0.17225191930100436</v>
      </c>
      <c r="Z1350" s="6"/>
      <c r="AA1350" s="61"/>
    </row>
    <row r="1351" spans="1:27" ht="13.5">
      <c r="A1351" s="36" t="s">
        <v>164</v>
      </c>
      <c r="B1351" s="36">
        <f>3^7</f>
        <v>2187</v>
      </c>
      <c r="C1351" s="36">
        <f>2^6*5*7</f>
        <v>2240</v>
      </c>
      <c r="D1351" s="13">
        <f t="shared" si="28"/>
        <v>41.454614276247781</v>
      </c>
      <c r="E1351" s="61">
        <v>7</v>
      </c>
      <c r="F1351" s="65">
        <v>23.206815784208633</v>
      </c>
      <c r="G1351" s="6">
        <v>23</v>
      </c>
      <c r="H1351" s="6">
        <v>35</v>
      </c>
      <c r="I1351" s="65">
        <v>-9.5525116283709757</v>
      </c>
      <c r="J1351" s="6">
        <f>VLOOKUP($D1351,Sheet1!$A$5:$C$192,3,TRUE)</f>
        <v>8</v>
      </c>
      <c r="K1351" s="42" t="str">
        <f>VLOOKUP($D1351,Sheet1!$A$5:$C$192,2,TRUE)</f>
        <v>//|</v>
      </c>
      <c r="L1351" s="6">
        <f>FLOOR(VLOOKUP($D1351,Sheet1!$D$5:$F$192,3,TRUE),1)</f>
        <v>17</v>
      </c>
      <c r="M1351" s="42" t="str">
        <f>VLOOKUP($D1351,Sheet1!$D$5:$F$192,2,TRUE)</f>
        <v>~|\</v>
      </c>
      <c r="N1351" s="23">
        <f>FLOOR(VLOOKUP($D1351,Sheet1!$G$5:$I$192,3,TRUE),1)</f>
        <v>21</v>
      </c>
      <c r="O1351" s="42" t="str">
        <f>VLOOKUP($D1351,Sheet1!$G$5:$I$192,2,TRUE)</f>
        <v>.//|</v>
      </c>
      <c r="P1351" s="23">
        <v>1</v>
      </c>
      <c r="Q1351" s="45" t="str">
        <f>VLOOKUP($D1351,Sheet1!$J$5:$L$192,2,TRUE)</f>
        <v>.//|'</v>
      </c>
      <c r="R1351" s="38">
        <f>FLOOR(VLOOKUP($D1351,Sheet1!$M$5:$O$192,3,TRUE),1)</f>
        <v>85</v>
      </c>
      <c r="S1351" s="45" t="str">
        <f>VLOOKUP($D1351,Sheet1!$M$5:$O$192,2,TRUE)</f>
        <v>.//|'</v>
      </c>
      <c r="T1351" s="108">
        <f>IF(ABS(D1351-VLOOKUP($D1351,Sheet1!$M$5:$T$192,8,TRUE))&lt;10^-10,"SoCA",D1351-VLOOKUP($D1351,Sheet1!$M$5:$T$192,8,TRUE))</f>
        <v>-2.6960295202570705E-2</v>
      </c>
      <c r="U1351" s="112" t="str">
        <f>IF(VLOOKUP($D1351,Sheet1!$M$5:$U$192,9,TRUE)=0,"",IF(ABS(D1351-VLOOKUP($D1351,Sheet1!$M$5:$U$192,9,TRUE))&lt;10^-10,"Alt.",D1351-VLOOKUP($D1351,Sheet1!$M$5:$U$192,9,TRUE)))</f>
        <v>Alt.</v>
      </c>
      <c r="V1351" s="133">
        <f>$D1351-Sheet1!$M$3*$R1351</f>
        <v>-1.8456603175025066E-2</v>
      </c>
      <c r="Z1351" s="6"/>
      <c r="AA1351" s="61"/>
    </row>
    <row r="1352" spans="1:27" ht="13.5">
      <c r="A1352" s="23" t="s">
        <v>376</v>
      </c>
      <c r="B1352" s="23">
        <f>3^3*5*7</f>
        <v>945</v>
      </c>
      <c r="C1352" s="23">
        <f>2^3*11^2</f>
        <v>968</v>
      </c>
      <c r="D1352" s="13">
        <f t="shared" si="28"/>
        <v>41.631261799391396</v>
      </c>
      <c r="E1352" s="61">
        <v>11</v>
      </c>
      <c r="F1352" s="65">
        <v>34.547245347266838</v>
      </c>
      <c r="G1352" s="6">
        <v>216</v>
      </c>
      <c r="H1352" s="6">
        <v>211</v>
      </c>
      <c r="I1352" s="65">
        <v>-5.5633884599328933</v>
      </c>
      <c r="J1352" s="6">
        <f>VLOOKUP($D1352,Sheet1!$A$5:$C$192,3,TRUE)</f>
        <v>8</v>
      </c>
      <c r="K1352" s="42" t="str">
        <f>VLOOKUP($D1352,Sheet1!$A$5:$C$192,2,TRUE)</f>
        <v>//|</v>
      </c>
      <c r="L1352" s="6">
        <f>FLOOR(VLOOKUP($D1352,Sheet1!$D$5:$F$192,3,TRUE),1)</f>
        <v>17</v>
      </c>
      <c r="M1352" s="42" t="str">
        <f>VLOOKUP($D1352,Sheet1!$D$5:$F$192,2,TRUE)</f>
        <v>~|\</v>
      </c>
      <c r="N1352" s="23">
        <f>FLOOR(VLOOKUP($D1352,Sheet1!$G$5:$I$192,3,TRUE),1)</f>
        <v>21</v>
      </c>
      <c r="O1352" s="42" t="str">
        <f>VLOOKUP($D1352,Sheet1!$G$5:$I$192,2,TRUE)</f>
        <v>.//|</v>
      </c>
      <c r="P1352" s="23">
        <v>1</v>
      </c>
      <c r="Q1352" s="43" t="str">
        <f>VLOOKUP($D1352,Sheet1!$J$5:$L$192,2,TRUE)</f>
        <v>.//|'</v>
      </c>
      <c r="R1352" s="23">
        <f>FLOOR(VLOOKUP($D1352,Sheet1!$M$5:$O$192,3,TRUE),1)</f>
        <v>85</v>
      </c>
      <c r="S1352" s="43" t="str">
        <f>VLOOKUP($D1352,Sheet1!$M$5:$O$192,2,TRUE)</f>
        <v>.//|'</v>
      </c>
      <c r="T1352" s="117">
        <f>IF(ABS(D1352-VLOOKUP($D1352,Sheet1!$M$5:$T$192,8,TRUE))&lt;10^-10,"SoCA",D1352-VLOOKUP($D1352,Sheet1!$M$5:$T$192,8,TRUE))</f>
        <v>0.14968722794104394</v>
      </c>
      <c r="U1352" s="117">
        <f>IF(VLOOKUP($D1352,Sheet1!$M$5:$U$192,9,TRUE)=0,"",IF(ABS(D1352-VLOOKUP($D1352,Sheet1!$M$5:$U$192,9,TRUE))&lt;10^-10,"Alt.",D1352-VLOOKUP($D1352,Sheet1!$M$5:$U$192,9,TRUE)))</f>
        <v>0.17664752314347965</v>
      </c>
      <c r="V1352" s="132">
        <f>$D1352-Sheet1!$M$3*$R1352</f>
        <v>0.15819091996858958</v>
      </c>
      <c r="Z1352" s="6"/>
      <c r="AA1352" s="61"/>
    </row>
    <row r="1353" spans="1:27" ht="13.5">
      <c r="A1353" t="s">
        <v>475</v>
      </c>
      <c r="B1353">
        <v>32032</v>
      </c>
      <c r="C1353">
        <v>32805</v>
      </c>
      <c r="D1353" s="13">
        <f t="shared" si="28"/>
        <v>41.282210184741935</v>
      </c>
      <c r="E1353" s="61">
        <v>13</v>
      </c>
      <c r="F1353" s="65">
        <v>53.413845492558814</v>
      </c>
      <c r="G1353" s="6">
        <v>331</v>
      </c>
      <c r="H1353" s="6">
        <v>313</v>
      </c>
      <c r="I1353" s="65">
        <v>5.4581039196453416</v>
      </c>
      <c r="J1353" s="6">
        <f>VLOOKUP($D1353,Sheet1!$A$5:$C$192,3,TRUE)</f>
        <v>8</v>
      </c>
      <c r="K1353" s="42" t="str">
        <f>VLOOKUP($D1353,Sheet1!$A$5:$C$192,2,TRUE)</f>
        <v>//|</v>
      </c>
      <c r="L1353" s="6">
        <f>FLOOR(VLOOKUP($D1353,Sheet1!$D$5:$F$192,3,TRUE),1)</f>
        <v>17</v>
      </c>
      <c r="M1353" s="42" t="str">
        <f>VLOOKUP($D1353,Sheet1!$D$5:$F$192,2,TRUE)</f>
        <v>~|\</v>
      </c>
      <c r="N1353" s="23">
        <f>FLOOR(VLOOKUP($D1353,Sheet1!$G$5:$I$192,3,TRUE),1)</f>
        <v>21</v>
      </c>
      <c r="O1353" s="42" t="str">
        <f>VLOOKUP($D1353,Sheet1!$G$5:$I$192,2,TRUE)</f>
        <v>.//|</v>
      </c>
      <c r="P1353" s="23">
        <v>1</v>
      </c>
      <c r="Q1353" s="43" t="str">
        <f>VLOOKUP($D1353,Sheet1!$J$5:$L$192,2,TRUE)</f>
        <v>.//|'</v>
      </c>
      <c r="R1353" s="23">
        <f>FLOOR(VLOOKUP($D1353,Sheet1!$M$5:$O$192,3,TRUE),1)</f>
        <v>85</v>
      </c>
      <c r="S1353" s="42" t="str">
        <f>VLOOKUP($D1353,Sheet1!$M$5:$O$192,2,TRUE)</f>
        <v>.//|'</v>
      </c>
      <c r="T1353" s="117">
        <f>IF(ABS(D1353-VLOOKUP($D1353,Sheet1!$M$5:$T$192,8,TRUE))&lt;10^-10,"SoCA",D1353-VLOOKUP($D1353,Sheet1!$M$5:$T$192,8,TRUE))</f>
        <v>-0.19936438670841738</v>
      </c>
      <c r="U1353" s="109">
        <f>IF(VLOOKUP($D1353,Sheet1!$M$5:$U$192,9,TRUE)=0,"",IF(ABS(D1353-VLOOKUP($D1353,Sheet1!$M$5:$U$192,9,TRUE))&lt;10^-10,"Alt.",D1353-VLOOKUP($D1353,Sheet1!$M$5:$U$192,9,TRUE)))</f>
        <v>-0.17240409150598168</v>
      </c>
      <c r="V1353" s="132">
        <f>$D1353-Sheet1!$M$3*$R1353</f>
        <v>-0.19086069468087175</v>
      </c>
      <c r="Z1353" s="6"/>
      <c r="AA1353" s="61"/>
    </row>
    <row r="1354" spans="1:27" ht="13.5">
      <c r="A1354" t="s">
        <v>864</v>
      </c>
      <c r="B1354">
        <v>20480</v>
      </c>
      <c r="C1354">
        <v>20979</v>
      </c>
      <c r="D1354" s="13">
        <f t="shared" si="28"/>
        <v>41.676234820579594</v>
      </c>
      <c r="E1354" s="61">
        <v>37</v>
      </c>
      <c r="F1354" s="65">
        <v>59.003104376232869</v>
      </c>
      <c r="G1354" s="6">
        <v>775</v>
      </c>
      <c r="H1354" s="6">
        <v>711</v>
      </c>
      <c r="I1354" s="65">
        <v>1.433842387306913</v>
      </c>
      <c r="J1354" s="6">
        <f>VLOOKUP($D1354,Sheet1!$A$5:$C$192,3,TRUE)</f>
        <v>8</v>
      </c>
      <c r="K1354" s="42" t="str">
        <f>VLOOKUP($D1354,Sheet1!$A$5:$C$192,2,TRUE)</f>
        <v>//|</v>
      </c>
      <c r="L1354" s="6">
        <f>FLOOR(VLOOKUP($D1354,Sheet1!$D$5:$F$192,3,TRUE),1)</f>
        <v>17</v>
      </c>
      <c r="M1354" s="42" t="str">
        <f>VLOOKUP($D1354,Sheet1!$D$5:$F$192,2,TRUE)</f>
        <v>~|\</v>
      </c>
      <c r="N1354" s="23">
        <f>FLOOR(VLOOKUP($D1354,Sheet1!$G$5:$I$192,3,TRUE),1)</f>
        <v>21</v>
      </c>
      <c r="O1354" s="42" t="str">
        <f>VLOOKUP($D1354,Sheet1!$G$5:$I$192,2,TRUE)</f>
        <v>.//|</v>
      </c>
      <c r="P1354" s="23">
        <v>1</v>
      </c>
      <c r="Q1354" s="43" t="str">
        <f>VLOOKUP($D1354,Sheet1!$J$5:$L$192,2,TRUE)</f>
        <v>.//|'</v>
      </c>
      <c r="R1354" s="23">
        <f>FLOOR(VLOOKUP($D1354,Sheet1!$M$5:$O$192,3,TRUE),1)</f>
        <v>85</v>
      </c>
      <c r="S1354" s="42" t="str">
        <f>VLOOKUP($D1354,Sheet1!$M$5:$O$192,2,TRUE)</f>
        <v>.//|'</v>
      </c>
      <c r="T1354" s="117">
        <f>IF(ABS(D1354-VLOOKUP($D1354,Sheet1!$M$5:$T$192,8,TRUE))&lt;10^-10,"SoCA",D1354-VLOOKUP($D1354,Sheet1!$M$5:$T$192,8,TRUE))</f>
        <v>0.1946602491292424</v>
      </c>
      <c r="U1354" s="109">
        <f>IF(VLOOKUP($D1354,Sheet1!$M$5:$U$192,9,TRUE)=0,"",IF(ABS(D1354-VLOOKUP($D1354,Sheet1!$M$5:$U$192,9,TRUE))&lt;10^-10,"Alt.",D1354-VLOOKUP($D1354,Sheet1!$M$5:$U$192,9,TRUE)))</f>
        <v>0.2216205443316781</v>
      </c>
      <c r="V1354" s="132">
        <f>$D1354-Sheet1!$M$3*$R1354</f>
        <v>0.20316394115678804</v>
      </c>
      <c r="Z1354" s="6"/>
      <c r="AA1354" s="61"/>
    </row>
    <row r="1355" spans="1:27" ht="13.5">
      <c r="A1355" t="s">
        <v>1687</v>
      </c>
      <c r="B1355">
        <v>2910897</v>
      </c>
      <c r="C1355">
        <v>2981888</v>
      </c>
      <c r="D1355" s="13">
        <f t="shared" si="28"/>
        <v>41.714735086453544</v>
      </c>
      <c r="E1355" s="61">
        <v>13</v>
      </c>
      <c r="F1355" s="65">
        <v>73.421356841965533</v>
      </c>
      <c r="G1355" s="6">
        <v>1591</v>
      </c>
      <c r="H1355" s="6">
        <v>1536</v>
      </c>
      <c r="I1355" s="65">
        <v>-9.5685282143270509</v>
      </c>
      <c r="J1355" s="6">
        <f>VLOOKUP($D1355,Sheet1!$A$5:$C$192,3,TRUE)</f>
        <v>8</v>
      </c>
      <c r="K1355" s="42" t="str">
        <f>VLOOKUP($D1355,Sheet1!$A$5:$C$192,2,TRUE)</f>
        <v>//|</v>
      </c>
      <c r="L1355" s="6">
        <f>FLOOR(VLOOKUP($D1355,Sheet1!$D$5:$F$192,3,TRUE),1)</f>
        <v>17</v>
      </c>
      <c r="M1355" s="42" t="str">
        <f>VLOOKUP($D1355,Sheet1!$D$5:$F$192,2,TRUE)</f>
        <v>~|\</v>
      </c>
      <c r="N1355" s="23">
        <f>FLOOR(VLOOKUP($D1355,Sheet1!$G$5:$I$192,3,TRUE),1)</f>
        <v>21</v>
      </c>
      <c r="O1355" s="42" t="str">
        <f>VLOOKUP($D1355,Sheet1!$G$5:$I$192,2,TRUE)</f>
        <v>.//|</v>
      </c>
      <c r="P1355" s="23">
        <v>1</v>
      </c>
      <c r="Q1355" s="43" t="str">
        <f>VLOOKUP($D1355,Sheet1!$J$5:$L$192,2,TRUE)</f>
        <v>.//|'</v>
      </c>
      <c r="R1355" s="23">
        <f>FLOOR(VLOOKUP($D1355,Sheet1!$M$5:$O$192,3,TRUE),1)</f>
        <v>85</v>
      </c>
      <c r="S1355" s="42" t="str">
        <f>VLOOKUP($D1355,Sheet1!$M$5:$O$192,2,TRUE)</f>
        <v>.//|'</v>
      </c>
      <c r="T1355" s="117">
        <f>IF(ABS(D1355-VLOOKUP($D1355,Sheet1!$M$5:$T$192,8,TRUE))&lt;10^-10,"SoCA",D1355-VLOOKUP($D1355,Sheet1!$M$5:$T$192,8,TRUE))</f>
        <v>0.2331605150031919</v>
      </c>
      <c r="U1355" s="109">
        <f>IF(VLOOKUP($D1355,Sheet1!$M$5:$U$192,9,TRUE)=0,"",IF(ABS(D1355-VLOOKUP($D1355,Sheet1!$M$5:$U$192,9,TRUE))&lt;10^-10,"Alt.",D1355-VLOOKUP($D1355,Sheet1!$M$5:$U$192,9,TRUE)))</f>
        <v>0.26012081020562761</v>
      </c>
      <c r="V1355" s="132">
        <f>$D1355-Sheet1!$M$3*$R1355</f>
        <v>0.24166420703073754</v>
      </c>
      <c r="Z1355" s="6"/>
      <c r="AA1355" s="61"/>
    </row>
    <row r="1356" spans="1:27" ht="13.5">
      <c r="A1356" t="s">
        <v>1176</v>
      </c>
      <c r="B1356">
        <v>100352</v>
      </c>
      <c r="C1356">
        <v>102789</v>
      </c>
      <c r="D1356" s="13">
        <f t="shared" si="28"/>
        <v>41.539815132626778</v>
      </c>
      <c r="E1356" s="61">
        <v>47</v>
      </c>
      <c r="F1356" s="65">
        <v>74.913603221445541</v>
      </c>
      <c r="G1356" s="6">
        <v>1079</v>
      </c>
      <c r="H1356" s="6">
        <v>1025</v>
      </c>
      <c r="I1356" s="65">
        <v>4.44224224449815</v>
      </c>
      <c r="J1356" s="6">
        <f>VLOOKUP($D1356,Sheet1!$A$5:$C$192,3,TRUE)</f>
        <v>8</v>
      </c>
      <c r="K1356" s="42" t="str">
        <f>VLOOKUP($D1356,Sheet1!$A$5:$C$192,2,TRUE)</f>
        <v>//|</v>
      </c>
      <c r="L1356" s="6">
        <f>FLOOR(VLOOKUP($D1356,Sheet1!$D$5:$F$192,3,TRUE),1)</f>
        <v>17</v>
      </c>
      <c r="M1356" s="42" t="str">
        <f>VLOOKUP($D1356,Sheet1!$D$5:$F$192,2,TRUE)</f>
        <v>~|\</v>
      </c>
      <c r="N1356" s="23">
        <f>FLOOR(VLOOKUP($D1356,Sheet1!$G$5:$I$192,3,TRUE),1)</f>
        <v>21</v>
      </c>
      <c r="O1356" s="42" t="str">
        <f>VLOOKUP($D1356,Sheet1!$G$5:$I$192,2,TRUE)</f>
        <v>.//|</v>
      </c>
      <c r="P1356" s="23">
        <v>1</v>
      </c>
      <c r="Q1356" s="43" t="str">
        <f>VLOOKUP($D1356,Sheet1!$J$5:$L$192,2,TRUE)</f>
        <v>.//|'</v>
      </c>
      <c r="R1356" s="23">
        <f>FLOOR(VLOOKUP($D1356,Sheet1!$M$5:$O$192,3,TRUE),1)</f>
        <v>85</v>
      </c>
      <c r="S1356" s="42" t="str">
        <f>VLOOKUP($D1356,Sheet1!$M$5:$O$192,2,TRUE)</f>
        <v>.//|'</v>
      </c>
      <c r="T1356" s="117">
        <f>IF(ABS(D1356-VLOOKUP($D1356,Sheet1!$M$5:$T$192,8,TRUE))&lt;10^-10,"SoCA",D1356-VLOOKUP($D1356,Sheet1!$M$5:$T$192,8,TRUE))</f>
        <v>5.8240561176425842E-2</v>
      </c>
      <c r="U1356" s="109">
        <f>IF(VLOOKUP($D1356,Sheet1!$M$5:$U$192,9,TRUE)=0,"",IF(ABS(D1356-VLOOKUP($D1356,Sheet1!$M$5:$U$192,9,TRUE))&lt;10^-10,"Alt.",D1356-VLOOKUP($D1356,Sheet1!$M$5:$U$192,9,TRUE)))</f>
        <v>8.5200856378861545E-2</v>
      </c>
      <c r="V1356" s="132">
        <f>$D1356-Sheet1!$M$3*$R1356</f>
        <v>6.6744253203971482E-2</v>
      </c>
      <c r="Z1356" s="6"/>
      <c r="AA1356" s="61"/>
    </row>
    <row r="1357" spans="1:27" ht="13.5">
      <c r="A1357" t="s">
        <v>966</v>
      </c>
      <c r="B1357">
        <v>249856</v>
      </c>
      <c r="C1357">
        <v>255879</v>
      </c>
      <c r="D1357" s="13">
        <f t="shared" si="28"/>
        <v>41.237864482333976</v>
      </c>
      <c r="E1357" s="61" t="s">
        <v>1931</v>
      </c>
      <c r="F1357" s="65">
        <v>81.178268396929198</v>
      </c>
      <c r="G1357" s="6">
        <v>689</v>
      </c>
      <c r="H1357" s="6">
        <v>814</v>
      </c>
      <c r="I1357" s="65">
        <v>6.4608344461027896</v>
      </c>
      <c r="J1357" s="6">
        <f>VLOOKUP($D1357,Sheet1!$A$5:$C$192,3,TRUE)</f>
        <v>8</v>
      </c>
      <c r="K1357" s="42" t="str">
        <f>VLOOKUP($D1357,Sheet1!$A$5:$C$192,2,TRUE)</f>
        <v>//|</v>
      </c>
      <c r="L1357" s="6">
        <f>FLOOR(VLOOKUP($D1357,Sheet1!$D$5:$F$192,3,TRUE),1)</f>
        <v>17</v>
      </c>
      <c r="M1357" s="42" t="str">
        <f>VLOOKUP($D1357,Sheet1!$D$5:$F$192,2,TRUE)</f>
        <v>~|\</v>
      </c>
      <c r="N1357" s="23">
        <f>FLOOR(VLOOKUP($D1357,Sheet1!$G$5:$I$192,3,TRUE),1)</f>
        <v>21</v>
      </c>
      <c r="O1357" s="42" t="str">
        <f>VLOOKUP($D1357,Sheet1!$G$5:$I$192,2,TRUE)</f>
        <v>.//|</v>
      </c>
      <c r="P1357" s="23">
        <v>1</v>
      </c>
      <c r="Q1357" s="43" t="str">
        <f>VLOOKUP($D1357,Sheet1!$J$5:$L$192,2,TRUE)</f>
        <v>.//|'</v>
      </c>
      <c r="R1357" s="23">
        <f>FLOOR(VLOOKUP($D1357,Sheet1!$M$5:$O$192,3,TRUE),1)</f>
        <v>85</v>
      </c>
      <c r="S1357" s="42" t="str">
        <f>VLOOKUP($D1357,Sheet1!$M$5:$O$192,2,TRUE)</f>
        <v>.//|'</v>
      </c>
      <c r="T1357" s="117">
        <f>IF(ABS(D1357-VLOOKUP($D1357,Sheet1!$M$5:$T$192,8,TRUE))&lt;10^-10,"SoCA",D1357-VLOOKUP($D1357,Sheet1!$M$5:$T$192,8,TRUE))</f>
        <v>-0.24371008911637659</v>
      </c>
      <c r="U1357" s="109">
        <f>IF(VLOOKUP($D1357,Sheet1!$M$5:$U$192,9,TRUE)=0,"",IF(ABS(D1357-VLOOKUP($D1357,Sheet1!$M$5:$U$192,9,TRUE))&lt;10^-10,"Alt.",D1357-VLOOKUP($D1357,Sheet1!$M$5:$U$192,9,TRUE)))</f>
        <v>-0.21674979391394089</v>
      </c>
      <c r="V1357" s="132">
        <f>$D1357-Sheet1!$M$3*$R1357</f>
        <v>-0.23520639708883095</v>
      </c>
      <c r="Z1357" s="6"/>
      <c r="AA1357" s="61"/>
    </row>
    <row r="1358" spans="1:27" ht="13.5">
      <c r="A1358" t="s">
        <v>1684</v>
      </c>
      <c r="B1358">
        <v>8748</v>
      </c>
      <c r="C1358">
        <v>8959</v>
      </c>
      <c r="D1358" s="13">
        <f t="shared" si="28"/>
        <v>41.261385407352812</v>
      </c>
      <c r="E1358" s="61">
        <v>31</v>
      </c>
      <c r="F1358" s="65">
        <v>114.13606787997523</v>
      </c>
      <c r="G1358" s="6">
        <v>1588</v>
      </c>
      <c r="H1358" s="6">
        <v>1533</v>
      </c>
      <c r="I1358" s="65">
        <v>-9.5406138229420154</v>
      </c>
      <c r="J1358" s="6">
        <f>VLOOKUP($D1358,Sheet1!$A$5:$C$192,3,TRUE)</f>
        <v>8</v>
      </c>
      <c r="K1358" s="42" t="str">
        <f>VLOOKUP($D1358,Sheet1!$A$5:$C$192,2,TRUE)</f>
        <v>//|</v>
      </c>
      <c r="L1358" s="6">
        <f>FLOOR(VLOOKUP($D1358,Sheet1!$D$5:$F$192,3,TRUE),1)</f>
        <v>17</v>
      </c>
      <c r="M1358" s="42" t="str">
        <f>VLOOKUP($D1358,Sheet1!$D$5:$F$192,2,TRUE)</f>
        <v>~|\</v>
      </c>
      <c r="N1358" s="23">
        <f>FLOOR(VLOOKUP($D1358,Sheet1!$G$5:$I$192,3,TRUE),1)</f>
        <v>21</v>
      </c>
      <c r="O1358" s="42" t="str">
        <f>VLOOKUP($D1358,Sheet1!$G$5:$I$192,2,TRUE)</f>
        <v>.//|</v>
      </c>
      <c r="P1358" s="23">
        <v>1</v>
      </c>
      <c r="Q1358" s="43" t="str">
        <f>VLOOKUP($D1358,Sheet1!$J$5:$L$192,2,TRUE)</f>
        <v>.//|'</v>
      </c>
      <c r="R1358" s="23">
        <f>FLOOR(VLOOKUP($D1358,Sheet1!$M$5:$O$192,3,TRUE),1)</f>
        <v>85</v>
      </c>
      <c r="S1358" s="42" t="str">
        <f>VLOOKUP($D1358,Sheet1!$M$5:$O$192,2,TRUE)</f>
        <v>.//|'</v>
      </c>
      <c r="T1358" s="117">
        <f>IF(ABS(D1358-VLOOKUP($D1358,Sheet1!$M$5:$T$192,8,TRUE))&lt;10^-10,"SoCA",D1358-VLOOKUP($D1358,Sheet1!$M$5:$T$192,8,TRUE))</f>
        <v>-0.22018916409754041</v>
      </c>
      <c r="U1358" s="109">
        <f>IF(VLOOKUP($D1358,Sheet1!$M$5:$U$192,9,TRUE)=0,"",IF(ABS(D1358-VLOOKUP($D1358,Sheet1!$M$5:$U$192,9,TRUE))&lt;10^-10,"Alt.",D1358-VLOOKUP($D1358,Sheet1!$M$5:$U$192,9,TRUE)))</f>
        <v>-0.19322886889510471</v>
      </c>
      <c r="V1358" s="132">
        <f>$D1358-Sheet1!$M$3*$R1358</f>
        <v>-0.21168547206999477</v>
      </c>
      <c r="Z1358" s="6"/>
      <c r="AA1358" s="61"/>
    </row>
    <row r="1359" spans="1:27" ht="13.5">
      <c r="A1359" t="s">
        <v>564</v>
      </c>
      <c r="B1359">
        <v>536</v>
      </c>
      <c r="C1359">
        <v>549</v>
      </c>
      <c r="D1359" s="13">
        <f t="shared" si="28"/>
        <v>41.487778256911426</v>
      </c>
      <c r="E1359" s="61" t="s">
        <v>1931</v>
      </c>
      <c r="F1359" s="65">
        <v>128.07352572163273</v>
      </c>
      <c r="G1359" s="6">
        <v>474</v>
      </c>
      <c r="H1359" s="6">
        <v>408</v>
      </c>
      <c r="I1359" s="65">
        <v>-0.55455365548339541</v>
      </c>
      <c r="J1359" s="6">
        <f>VLOOKUP($D1359,Sheet1!$A$5:$C$192,3,TRUE)</f>
        <v>8</v>
      </c>
      <c r="K1359" s="42" t="str">
        <f>VLOOKUP($D1359,Sheet1!$A$5:$C$192,2,TRUE)</f>
        <v>//|</v>
      </c>
      <c r="L1359" s="6">
        <f>FLOOR(VLOOKUP($D1359,Sheet1!$D$5:$F$192,3,TRUE),1)</f>
        <v>17</v>
      </c>
      <c r="M1359" s="42" t="str">
        <f>VLOOKUP($D1359,Sheet1!$D$5:$F$192,2,TRUE)</f>
        <v>~|\</v>
      </c>
      <c r="N1359" s="23">
        <f>FLOOR(VLOOKUP($D1359,Sheet1!$G$5:$I$192,3,TRUE),1)</f>
        <v>21</v>
      </c>
      <c r="O1359" s="42" t="str">
        <f>VLOOKUP($D1359,Sheet1!$G$5:$I$192,2,TRUE)</f>
        <v>.//|</v>
      </c>
      <c r="P1359" s="23">
        <v>1</v>
      </c>
      <c r="Q1359" s="43" t="str">
        <f>VLOOKUP($D1359,Sheet1!$J$5:$L$192,2,TRUE)</f>
        <v>.//|'</v>
      </c>
      <c r="R1359" s="23">
        <f>FLOOR(VLOOKUP($D1359,Sheet1!$M$5:$O$192,3,TRUE),1)</f>
        <v>85</v>
      </c>
      <c r="S1359" s="42" t="str">
        <f>VLOOKUP($D1359,Sheet1!$M$5:$O$192,2,TRUE)</f>
        <v>.//|'</v>
      </c>
      <c r="T1359" s="117">
        <f>IF(ABS(D1359-VLOOKUP($D1359,Sheet1!$M$5:$T$192,8,TRUE))&lt;10^-10,"SoCA",D1359-VLOOKUP($D1359,Sheet1!$M$5:$T$192,8,TRUE))</f>
        <v>6.2036854610738601E-3</v>
      </c>
      <c r="U1359" s="109">
        <f>IF(VLOOKUP($D1359,Sheet1!$M$5:$U$192,9,TRUE)=0,"",IF(ABS(D1359-VLOOKUP($D1359,Sheet1!$M$5:$U$192,9,TRUE))&lt;10^-10,"Alt.",D1359-VLOOKUP($D1359,Sheet1!$M$5:$U$192,9,TRUE)))</f>
        <v>3.3163980663509562E-2</v>
      </c>
      <c r="V1359" s="132">
        <f>$D1359-Sheet1!$M$3*$R1359</f>
        <v>1.47073774886195E-2</v>
      </c>
      <c r="Z1359" s="6"/>
      <c r="AA1359" s="61"/>
    </row>
    <row r="1360" spans="1:27" ht="13.5">
      <c r="A1360" t="s">
        <v>582</v>
      </c>
      <c r="B1360">
        <v>16777216</v>
      </c>
      <c r="C1360">
        <v>17183259</v>
      </c>
      <c r="D1360" s="13">
        <f t="shared" si="28"/>
        <v>41.400420143814813</v>
      </c>
      <c r="E1360" s="61" t="s">
        <v>1931</v>
      </c>
      <c r="F1360" s="65">
        <v>146.83505629874199</v>
      </c>
      <c r="G1360" s="6">
        <v>371</v>
      </c>
      <c r="H1360" s="6">
        <v>427</v>
      </c>
      <c r="I1360" s="65">
        <v>8.4508253018028974</v>
      </c>
      <c r="J1360" s="6">
        <f>VLOOKUP($D1360,Sheet1!$A$5:$C$192,3,TRUE)</f>
        <v>8</v>
      </c>
      <c r="K1360" s="42" t="str">
        <f>VLOOKUP($D1360,Sheet1!$A$5:$C$192,2,TRUE)</f>
        <v>//|</v>
      </c>
      <c r="L1360" s="6">
        <f>FLOOR(VLOOKUP($D1360,Sheet1!$D$5:$F$192,3,TRUE),1)</f>
        <v>17</v>
      </c>
      <c r="M1360" s="42" t="str">
        <f>VLOOKUP($D1360,Sheet1!$D$5:$F$192,2,TRUE)</f>
        <v>~|\</v>
      </c>
      <c r="N1360" s="23">
        <f>FLOOR(VLOOKUP($D1360,Sheet1!$G$5:$I$192,3,TRUE),1)</f>
        <v>21</v>
      </c>
      <c r="O1360" s="42" t="str">
        <f>VLOOKUP($D1360,Sheet1!$G$5:$I$192,2,TRUE)</f>
        <v>.//|</v>
      </c>
      <c r="P1360" s="23">
        <v>1</v>
      </c>
      <c r="Q1360" s="43" t="str">
        <f>VLOOKUP($D1360,Sheet1!$J$5:$L$192,2,TRUE)</f>
        <v>.//|'</v>
      </c>
      <c r="R1360" s="23">
        <f>FLOOR(VLOOKUP($D1360,Sheet1!$M$5:$O$192,3,TRUE),1)</f>
        <v>85</v>
      </c>
      <c r="S1360" s="42" t="str">
        <f>VLOOKUP($D1360,Sheet1!$M$5:$O$192,2,TRUE)</f>
        <v>.//|'</v>
      </c>
      <c r="T1360" s="117">
        <f>IF(ABS(D1360-VLOOKUP($D1360,Sheet1!$M$5:$T$192,8,TRUE))&lt;10^-10,"SoCA",D1360-VLOOKUP($D1360,Sheet1!$M$5:$T$192,8,TRUE))</f>
        <v>-8.115442763553915E-2</v>
      </c>
      <c r="U1360" s="109">
        <f>IF(VLOOKUP($D1360,Sheet1!$M$5:$U$192,9,TRUE)=0,"",IF(ABS(D1360-VLOOKUP($D1360,Sheet1!$M$5:$U$192,9,TRUE))&lt;10^-10,"Alt.",D1360-VLOOKUP($D1360,Sheet1!$M$5:$U$192,9,TRUE)))</f>
        <v>-5.4194132433103448E-2</v>
      </c>
      <c r="V1360" s="132">
        <f>$D1360-Sheet1!$M$3*$R1360</f>
        <v>-7.2650735607993511E-2</v>
      </c>
      <c r="Z1360" s="6"/>
      <c r="AA1360" s="61"/>
    </row>
    <row r="1361" spans="1:27" ht="13.5">
      <c r="A1361" t="s">
        <v>1770</v>
      </c>
      <c r="B1361">
        <v>583929</v>
      </c>
      <c r="C1361">
        <v>598016</v>
      </c>
      <c r="D1361" s="13">
        <f t="shared" si="28"/>
        <v>41.269346573244185</v>
      </c>
      <c r="E1361" s="61" t="s">
        <v>1931</v>
      </c>
      <c r="F1361" s="65">
        <v>186.59517857727818</v>
      </c>
      <c r="G1361" s="6">
        <v>1676</v>
      </c>
      <c r="H1361" s="6">
        <v>1619</v>
      </c>
      <c r="I1361" s="65">
        <v>-10.541104020930053</v>
      </c>
      <c r="J1361" s="6">
        <f>VLOOKUP($D1361,Sheet1!$A$5:$C$192,3,TRUE)</f>
        <v>8</v>
      </c>
      <c r="K1361" s="42" t="str">
        <f>VLOOKUP($D1361,Sheet1!$A$5:$C$192,2,TRUE)</f>
        <v>//|</v>
      </c>
      <c r="L1361" s="6">
        <f>FLOOR(VLOOKUP($D1361,Sheet1!$D$5:$F$192,3,TRUE),1)</f>
        <v>17</v>
      </c>
      <c r="M1361" s="42" t="str">
        <f>VLOOKUP($D1361,Sheet1!$D$5:$F$192,2,TRUE)</f>
        <v>~|\</v>
      </c>
      <c r="N1361" s="23">
        <f>FLOOR(VLOOKUP($D1361,Sheet1!$G$5:$I$192,3,TRUE),1)</f>
        <v>21</v>
      </c>
      <c r="O1361" s="42" t="str">
        <f>VLOOKUP($D1361,Sheet1!$G$5:$I$192,2,TRUE)</f>
        <v>.//|</v>
      </c>
      <c r="P1361" s="23">
        <v>1</v>
      </c>
      <c r="Q1361" s="43" t="str">
        <f>VLOOKUP($D1361,Sheet1!$J$5:$L$192,2,TRUE)</f>
        <v>.//|'</v>
      </c>
      <c r="R1361" s="23">
        <f>FLOOR(VLOOKUP($D1361,Sheet1!$M$5:$O$192,3,TRUE),1)</f>
        <v>85</v>
      </c>
      <c r="S1361" s="42" t="str">
        <f>VLOOKUP($D1361,Sheet1!$M$5:$O$192,2,TRUE)</f>
        <v>.//|'</v>
      </c>
      <c r="T1361" s="117">
        <f>IF(ABS(D1361-VLOOKUP($D1361,Sheet1!$M$5:$T$192,8,TRUE))&lt;10^-10,"SoCA",D1361-VLOOKUP($D1361,Sheet1!$M$5:$T$192,8,TRUE))</f>
        <v>-0.212227998206167</v>
      </c>
      <c r="U1361" s="109">
        <f>IF(VLOOKUP($D1361,Sheet1!$M$5:$U$192,9,TRUE)=0,"",IF(ABS(D1361-VLOOKUP($D1361,Sheet1!$M$5:$U$192,9,TRUE))&lt;10^-10,"Alt.",D1361-VLOOKUP($D1361,Sheet1!$M$5:$U$192,9,TRUE)))</f>
        <v>-0.1852677030037313</v>
      </c>
      <c r="V1361" s="132">
        <f>$D1361-Sheet1!$M$3*$R1361</f>
        <v>-0.20372430617862136</v>
      </c>
      <c r="Z1361" s="6"/>
      <c r="AA1361" s="61"/>
    </row>
    <row r="1362" spans="1:27" ht="13.5">
      <c r="A1362" t="s">
        <v>1073</v>
      </c>
      <c r="B1362">
        <v>17179869184</v>
      </c>
      <c r="C1362">
        <v>17596287801</v>
      </c>
      <c r="D1362" s="13">
        <f t="shared" si="28"/>
        <v>41.46246219476825</v>
      </c>
      <c r="E1362" s="61">
        <v>17</v>
      </c>
      <c r="F1362" s="65">
        <v>225.36092266223346</v>
      </c>
      <c r="G1362" s="6">
        <v>988</v>
      </c>
      <c r="H1362" s="6">
        <v>922</v>
      </c>
      <c r="I1362" s="65">
        <v>3.4470051466941958</v>
      </c>
      <c r="J1362" s="6">
        <f>VLOOKUP($D1362,Sheet1!$A$5:$C$192,3,TRUE)</f>
        <v>8</v>
      </c>
      <c r="K1362" s="42" t="str">
        <f>VLOOKUP($D1362,Sheet1!$A$5:$C$192,2,TRUE)</f>
        <v>//|</v>
      </c>
      <c r="L1362" s="6">
        <f>FLOOR(VLOOKUP($D1362,Sheet1!$D$5:$F$192,3,TRUE),1)</f>
        <v>17</v>
      </c>
      <c r="M1362" s="42" t="str">
        <f>VLOOKUP($D1362,Sheet1!$D$5:$F$192,2,TRUE)</f>
        <v>~|\</v>
      </c>
      <c r="N1362" s="23">
        <f>FLOOR(VLOOKUP($D1362,Sheet1!$G$5:$I$192,3,TRUE),1)</f>
        <v>21</v>
      </c>
      <c r="O1362" s="42" t="str">
        <f>VLOOKUP($D1362,Sheet1!$G$5:$I$192,2,TRUE)</f>
        <v>.//|</v>
      </c>
      <c r="P1362" s="23">
        <v>1</v>
      </c>
      <c r="Q1362" s="43" t="str">
        <f>VLOOKUP($D1362,Sheet1!$J$5:$L$192,2,TRUE)</f>
        <v>.//|'</v>
      </c>
      <c r="R1362" s="23">
        <f>FLOOR(VLOOKUP($D1362,Sheet1!$M$5:$O$192,3,TRUE),1)</f>
        <v>85</v>
      </c>
      <c r="S1362" s="42" t="str">
        <f>VLOOKUP($D1362,Sheet1!$M$5:$O$192,2,TRUE)</f>
        <v>.//|'</v>
      </c>
      <c r="T1362" s="117">
        <f>IF(ABS(D1362-VLOOKUP($D1362,Sheet1!$M$5:$T$192,8,TRUE))&lt;10^-10,"SoCA",D1362-VLOOKUP($D1362,Sheet1!$M$5:$T$192,8,TRUE))</f>
        <v>-1.9112376682102195E-2</v>
      </c>
      <c r="U1362" s="109">
        <f>IF(VLOOKUP($D1362,Sheet1!$M$5:$U$192,9,TRUE)=0,"",IF(ABS(D1362-VLOOKUP($D1362,Sheet1!$M$5:$U$192,9,TRUE))&lt;10^-10,"Alt.",D1362-VLOOKUP($D1362,Sheet1!$M$5:$U$192,9,TRUE)))</f>
        <v>7.8479185203335078E-3</v>
      </c>
      <c r="V1362" s="132">
        <f>$D1362-Sheet1!$M$3*$R1362</f>
        <v>-1.0608684654556555E-2</v>
      </c>
      <c r="Z1362" s="6"/>
      <c r="AA1362" s="61"/>
    </row>
    <row r="1363" spans="1:27" ht="13.5">
      <c r="A1363" t="s">
        <v>1462</v>
      </c>
      <c r="B1363">
        <v>70368744177664</v>
      </c>
      <c r="C1363">
        <v>72081298828125</v>
      </c>
      <c r="D1363" s="13">
        <f t="shared" si="28"/>
        <v>41.628288896726808</v>
      </c>
      <c r="E1363" s="61">
        <v>5</v>
      </c>
      <c r="F1363" s="65">
        <v>247.90489625656335</v>
      </c>
      <c r="G1363" s="6">
        <v>1375</v>
      </c>
      <c r="H1363" s="6">
        <v>1311</v>
      </c>
      <c r="I1363" s="65">
        <v>7.4367945925150405</v>
      </c>
      <c r="J1363" s="6">
        <f>VLOOKUP($D1363,Sheet1!$A$5:$C$192,3,TRUE)</f>
        <v>8</v>
      </c>
      <c r="K1363" s="42" t="str">
        <f>VLOOKUP($D1363,Sheet1!$A$5:$C$192,2,TRUE)</f>
        <v>//|</v>
      </c>
      <c r="L1363" s="6">
        <f>FLOOR(VLOOKUP($D1363,Sheet1!$D$5:$F$192,3,TRUE),1)</f>
        <v>17</v>
      </c>
      <c r="M1363" s="42" t="str">
        <f>VLOOKUP($D1363,Sheet1!$D$5:$F$192,2,TRUE)</f>
        <v>~|\</v>
      </c>
      <c r="N1363" s="23">
        <f>FLOOR(VLOOKUP($D1363,Sheet1!$G$5:$I$192,3,TRUE),1)</f>
        <v>21</v>
      </c>
      <c r="O1363" s="42" t="str">
        <f>VLOOKUP($D1363,Sheet1!$G$5:$I$192,2,TRUE)</f>
        <v>.//|</v>
      </c>
      <c r="P1363" s="23">
        <v>1</v>
      </c>
      <c r="Q1363" s="43" t="str">
        <f>VLOOKUP($D1363,Sheet1!$J$5:$L$192,2,TRUE)</f>
        <v>.//|'</v>
      </c>
      <c r="R1363" s="23">
        <f>FLOOR(VLOOKUP($D1363,Sheet1!$M$5:$O$192,3,TRUE),1)</f>
        <v>85</v>
      </c>
      <c r="S1363" s="42" t="str">
        <f>VLOOKUP($D1363,Sheet1!$M$5:$O$192,2,TRUE)</f>
        <v>.//|'</v>
      </c>
      <c r="T1363" s="117">
        <f>IF(ABS(D1363-VLOOKUP($D1363,Sheet1!$M$5:$T$192,8,TRUE))&lt;10^-10,"SoCA",D1363-VLOOKUP($D1363,Sheet1!$M$5:$T$192,8,TRUE))</f>
        <v>0.14671432527645578</v>
      </c>
      <c r="U1363" s="109">
        <f>IF(VLOOKUP($D1363,Sheet1!$M$5:$U$192,9,TRUE)=0,"",IF(ABS(D1363-VLOOKUP($D1363,Sheet1!$M$5:$U$192,9,TRUE))&lt;10^-10,"Alt.",D1363-VLOOKUP($D1363,Sheet1!$M$5:$U$192,9,TRUE)))</f>
        <v>0.17367462047889148</v>
      </c>
      <c r="V1363" s="132">
        <f>$D1363-Sheet1!$M$3*$R1363</f>
        <v>0.15521801730400142</v>
      </c>
      <c r="Z1363" s="6"/>
      <c r="AA1363" s="61"/>
    </row>
    <row r="1364" spans="1:27" ht="13.5">
      <c r="A1364" s="36" t="s">
        <v>166</v>
      </c>
      <c r="B1364" s="36">
        <f>2^6*7</f>
        <v>448</v>
      </c>
      <c r="C1364" s="37">
        <f>3^3*17</f>
        <v>459</v>
      </c>
      <c r="D1364" s="13">
        <f t="shared" si="28"/>
        <v>41.994505627444561</v>
      </c>
      <c r="E1364" s="61">
        <v>17</v>
      </c>
      <c r="F1364" s="65">
        <v>24.083986929037465</v>
      </c>
      <c r="G1364" s="6">
        <v>59</v>
      </c>
      <c r="H1364" s="6">
        <v>50</v>
      </c>
      <c r="I1364" s="65">
        <v>0.41424529420455825</v>
      </c>
      <c r="J1364" s="6">
        <f>VLOOKUP($D1364,Sheet1!$A$5:$C$192,3,TRUE)</f>
        <v>8</v>
      </c>
      <c r="K1364" s="42" t="str">
        <f>VLOOKUP($D1364,Sheet1!$A$5:$C$192,2,TRUE)</f>
        <v>//|</v>
      </c>
      <c r="L1364" s="6">
        <f>FLOOR(VLOOKUP($D1364,Sheet1!$D$5:$F$192,3,TRUE),1)</f>
        <v>18</v>
      </c>
      <c r="M1364" s="42" t="str">
        <f>VLOOKUP($D1364,Sheet1!$D$5:$F$192,2,TRUE)</f>
        <v>//|</v>
      </c>
      <c r="N1364" s="23">
        <f>FLOOR(VLOOKUP($D1364,Sheet1!$G$5:$I$192,3,TRUE),1)</f>
        <v>22</v>
      </c>
      <c r="O1364" s="42" t="str">
        <f>VLOOKUP($D1364,Sheet1!$G$5:$I$192,2,TRUE)</f>
        <v>//|</v>
      </c>
      <c r="P1364" s="23">
        <v>1</v>
      </c>
      <c r="Q1364" s="45" t="str">
        <f>VLOOKUP($D1364,Sheet1!$J$5:$L$192,2,TRUE)</f>
        <v>//|..</v>
      </c>
      <c r="R1364" s="38">
        <f>FLOOR(VLOOKUP($D1364,Sheet1!$M$5:$O$192,3,TRUE),1)</f>
        <v>86</v>
      </c>
      <c r="S1364" s="45" t="str">
        <f>VLOOKUP($D1364,Sheet1!$M$5:$O$192,2,TRUE)</f>
        <v>//|..</v>
      </c>
      <c r="T1364" s="108">
        <f>IF(ABS(D1364-VLOOKUP($D1364,Sheet1!$M$5:$T$192,8,TRUE))&lt;10^-10,"SoCA",D1364-VLOOKUP($D1364,Sheet1!$M$5:$T$192,8,TRUE))</f>
        <v>-0.18554936188353111</v>
      </c>
      <c r="U1364" s="108">
        <f>IF(VLOOKUP($D1364,Sheet1!$M$5:$U$192,9,TRUE)=0,"",IF(ABS(D1364-VLOOKUP($D1364,Sheet1!$M$5:$U$192,9,TRUE))&lt;10^-10,"Alt.",D1364-VLOOKUP($D1364,Sheet1!$M$5:$U$192,9,TRUE)))</f>
        <v>-0.19960152927798447</v>
      </c>
      <c r="V1364" s="133">
        <f>$D1364-Sheet1!$M$3*$R1364</f>
        <v>3.3516267087371432E-2</v>
      </c>
      <c r="Z1364" s="6"/>
      <c r="AA1364" s="61"/>
    </row>
    <row r="1365" spans="1:27" ht="13.5">
      <c r="A1365" s="23" t="s">
        <v>1799</v>
      </c>
      <c r="B1365" s="23">
        <f>3^9*13</f>
        <v>255879</v>
      </c>
      <c r="C1365" s="23">
        <f>2^18</f>
        <v>262144</v>
      </c>
      <c r="D1365" s="13">
        <f t="shared" si="28"/>
        <v>41.877330442202648</v>
      </c>
      <c r="E1365" s="61">
        <v>13</v>
      </c>
      <c r="F1365" s="65">
        <v>42.306258912754132</v>
      </c>
      <c r="G1365" s="59">
        <v>121</v>
      </c>
      <c r="H1365" s="63">
        <v>1000004</v>
      </c>
      <c r="I1365" s="65">
        <v>-11.578539802747656</v>
      </c>
      <c r="J1365" s="6">
        <f>VLOOKUP($D1365,Sheet1!$A$5:$C$192,3,TRUE)</f>
        <v>8</v>
      </c>
      <c r="K1365" s="42" t="str">
        <f>VLOOKUP($D1365,Sheet1!$A$5:$C$192,2,TRUE)</f>
        <v>//|</v>
      </c>
      <c r="L1365" s="6">
        <f>FLOOR(VLOOKUP($D1365,Sheet1!$D$5:$F$192,3,TRUE),1)</f>
        <v>18</v>
      </c>
      <c r="M1365" s="42" t="str">
        <f>VLOOKUP($D1365,Sheet1!$D$5:$F$192,2,TRUE)</f>
        <v>//|</v>
      </c>
      <c r="N1365" s="23">
        <f>FLOOR(VLOOKUP($D1365,Sheet1!$G$5:$I$192,3,TRUE),1)</f>
        <v>22</v>
      </c>
      <c r="O1365" s="42" t="str">
        <f>VLOOKUP($D1365,Sheet1!$G$5:$I$192,2,TRUE)</f>
        <v>//|</v>
      </c>
      <c r="P1365" s="23">
        <v>1</v>
      </c>
      <c r="Q1365" s="43" t="str">
        <f>VLOOKUP($D1365,Sheet1!$J$5:$L$192,2,TRUE)</f>
        <v>//|..</v>
      </c>
      <c r="R1365" s="23">
        <f>FLOOR(VLOOKUP($D1365,Sheet1!$M$5:$O$192,3,TRUE),1)</f>
        <v>86</v>
      </c>
      <c r="S1365" s="43" t="str">
        <f>VLOOKUP($D1365,Sheet1!$M$5:$O$192,2,TRUE)</f>
        <v>//|..</v>
      </c>
      <c r="T1365" s="117">
        <f>IF(ABS(D1365-VLOOKUP($D1365,Sheet1!$M$5:$T$192,8,TRUE))&lt;10^-10,"SoCA",D1365-VLOOKUP($D1365,Sheet1!$M$5:$T$192,8,TRUE))</f>
        <v>-0.30272454712544317</v>
      </c>
      <c r="U1365" s="117">
        <f>IF(VLOOKUP($D1365,Sheet1!$M$5:$U$192,9,TRUE)=0,"",IF(ABS(D1365-VLOOKUP($D1365,Sheet1!$M$5:$U$192,9,TRUE))&lt;10^-10,"Alt.",D1365-VLOOKUP($D1365,Sheet1!$M$5:$U$192,9,TRUE)))</f>
        <v>-0.31677671451989653</v>
      </c>
      <c r="V1365" s="132">
        <f>$D1365-Sheet1!$M$3*$R1365</f>
        <v>-8.3658918154540629E-2</v>
      </c>
      <c r="Z1365" s="6"/>
      <c r="AA1365" s="61"/>
    </row>
    <row r="1366" spans="1:27" ht="13.5">
      <c r="A1366" s="23" t="s">
        <v>330</v>
      </c>
      <c r="B1366" s="23">
        <f>41</f>
        <v>41</v>
      </c>
      <c r="C1366" s="23">
        <f>2*3*7</f>
        <v>42</v>
      </c>
      <c r="D1366" s="13">
        <f t="shared" si="28"/>
        <v>41.718501792811956</v>
      </c>
      <c r="E1366" s="61">
        <v>41</v>
      </c>
      <c r="F1366" s="65">
        <v>48.053665673254471</v>
      </c>
      <c r="G1366" s="6">
        <v>180</v>
      </c>
      <c r="H1366" s="6">
        <v>162</v>
      </c>
      <c r="I1366" s="65">
        <v>-1.5687601441603971</v>
      </c>
      <c r="J1366" s="6">
        <f>VLOOKUP($D1366,Sheet1!$A$5:$C$192,3,TRUE)</f>
        <v>8</v>
      </c>
      <c r="K1366" s="42" t="str">
        <f>VLOOKUP($D1366,Sheet1!$A$5:$C$192,2,TRUE)</f>
        <v>//|</v>
      </c>
      <c r="L1366" s="6">
        <f>FLOOR(VLOOKUP($D1366,Sheet1!$D$5:$F$192,3,TRUE),1)</f>
        <v>18</v>
      </c>
      <c r="M1366" s="42" t="str">
        <f>VLOOKUP($D1366,Sheet1!$D$5:$F$192,2,TRUE)</f>
        <v>//|</v>
      </c>
      <c r="N1366" s="23">
        <f>FLOOR(VLOOKUP($D1366,Sheet1!$G$5:$I$192,3,TRUE),1)</f>
        <v>22</v>
      </c>
      <c r="O1366" s="42" t="str">
        <f>VLOOKUP($D1366,Sheet1!$G$5:$I$192,2,TRUE)</f>
        <v>//|</v>
      </c>
      <c r="P1366" s="23">
        <v>1</v>
      </c>
      <c r="Q1366" s="43" t="str">
        <f>VLOOKUP($D1366,Sheet1!$J$5:$L$192,2,TRUE)</f>
        <v>//|..</v>
      </c>
      <c r="R1366" s="23">
        <f>FLOOR(VLOOKUP($D1366,Sheet1!$M$5:$O$192,3,TRUE),1)</f>
        <v>86</v>
      </c>
      <c r="S1366" s="43" t="str">
        <f>VLOOKUP($D1366,Sheet1!$M$5:$O$192,2,TRUE)</f>
        <v>//|..</v>
      </c>
      <c r="T1366" s="117">
        <f>IF(ABS(D1366-VLOOKUP($D1366,Sheet1!$M$5:$T$192,8,TRUE))&lt;10^-10,"SoCA",D1366-VLOOKUP($D1366,Sheet1!$M$5:$T$192,8,TRUE))</f>
        <v>-0.46155319651613524</v>
      </c>
      <c r="U1366" s="117">
        <f>IF(VLOOKUP($D1366,Sheet1!$M$5:$U$192,9,TRUE)=0,"",IF(ABS(D1366-VLOOKUP($D1366,Sheet1!$M$5:$U$192,9,TRUE))&lt;10^-10,"Alt.",D1366-VLOOKUP($D1366,Sheet1!$M$5:$U$192,9,TRUE)))</f>
        <v>-0.47560536391058861</v>
      </c>
      <c r="V1366" s="132">
        <f>$D1366-Sheet1!$M$3*$R1366</f>
        <v>-0.24248756754523271</v>
      </c>
      <c r="Z1366" s="6"/>
      <c r="AA1366" s="61"/>
    </row>
    <row r="1367" spans="1:27" ht="13.5">
      <c r="A1367" s="23" t="s">
        <v>767</v>
      </c>
      <c r="B1367" s="23">
        <f>17*31</f>
        <v>527</v>
      </c>
      <c r="C1367" s="23">
        <f>2^2*3^3*5</f>
        <v>540</v>
      </c>
      <c r="D1367" s="13">
        <f t="shared" si="28"/>
        <v>42.187734496339516</v>
      </c>
      <c r="E1367" s="61">
        <v>31</v>
      </c>
      <c r="F1367" s="65">
        <v>63.703179541685621</v>
      </c>
      <c r="G1367" s="6">
        <v>721</v>
      </c>
      <c r="H1367" s="6">
        <v>613</v>
      </c>
      <c r="I1367" s="65">
        <v>0.40234748877559934</v>
      </c>
      <c r="J1367" s="6">
        <f>VLOOKUP($D1367,Sheet1!$A$5:$C$192,3,TRUE)</f>
        <v>8</v>
      </c>
      <c r="K1367" s="42" t="str">
        <f>VLOOKUP($D1367,Sheet1!$A$5:$C$192,2,TRUE)</f>
        <v>//|</v>
      </c>
      <c r="L1367" s="6">
        <f>FLOOR(VLOOKUP($D1367,Sheet1!$D$5:$F$192,3,TRUE),1)</f>
        <v>18</v>
      </c>
      <c r="M1367" s="42" t="str">
        <f>VLOOKUP($D1367,Sheet1!$D$5:$F$192,2,TRUE)</f>
        <v>//|</v>
      </c>
      <c r="N1367" s="23">
        <f>FLOOR(VLOOKUP($D1367,Sheet1!$G$5:$I$192,3,TRUE),1)</f>
        <v>22</v>
      </c>
      <c r="O1367" s="42" t="str">
        <f>VLOOKUP($D1367,Sheet1!$G$5:$I$192,2,TRUE)</f>
        <v>//|</v>
      </c>
      <c r="P1367" s="23">
        <v>1</v>
      </c>
      <c r="Q1367" s="43" t="str">
        <f>VLOOKUP($D1367,Sheet1!$J$5:$L$192,2,TRUE)</f>
        <v>//|..</v>
      </c>
      <c r="R1367" s="23">
        <f>FLOOR(VLOOKUP($D1367,Sheet1!$M$5:$O$192,3,TRUE),1)</f>
        <v>86</v>
      </c>
      <c r="S1367" s="43" t="str">
        <f>VLOOKUP($D1367,Sheet1!$M$5:$O$192,2,TRUE)</f>
        <v>//|..</v>
      </c>
      <c r="T1367" s="117">
        <f>IF(ABS(D1367-VLOOKUP($D1367,Sheet1!$M$5:$T$192,8,TRUE))&lt;10^-10,"SoCA",D1367-VLOOKUP($D1367,Sheet1!$M$5:$T$192,8,TRUE))</f>
        <v>7.6795070114243913E-3</v>
      </c>
      <c r="U1367" s="117">
        <f>IF(VLOOKUP($D1367,Sheet1!$M$5:$U$192,9,TRUE)=0,"",IF(ABS(D1367-VLOOKUP($D1367,Sheet1!$M$5:$U$192,9,TRUE))&lt;10^-10,"Alt.",D1367-VLOOKUP($D1367,Sheet1!$M$5:$U$192,9,TRUE)))</f>
        <v>-6.3726603830289719E-3</v>
      </c>
      <c r="V1367" s="132">
        <f>$D1367-Sheet1!$M$3*$R1367</f>
        <v>0.22674513598232693</v>
      </c>
      <c r="Z1367" s="6"/>
      <c r="AA1367" s="61"/>
    </row>
    <row r="1368" spans="1:27" ht="13.5">
      <c r="A1368" t="s">
        <v>1556</v>
      </c>
      <c r="B1368">
        <v>469762048</v>
      </c>
      <c r="C1368">
        <v>481308399</v>
      </c>
      <c r="D1368" s="13">
        <f t="shared" si="28"/>
        <v>42.037723316506614</v>
      </c>
      <c r="E1368" s="61">
        <v>19</v>
      </c>
      <c r="F1368" s="65">
        <v>96.067971879442865</v>
      </c>
      <c r="G1368" s="6">
        <v>1462</v>
      </c>
      <c r="H1368" s="6">
        <v>1405</v>
      </c>
      <c r="I1368" s="65">
        <v>8.4115842236383944</v>
      </c>
      <c r="J1368" s="6">
        <f>VLOOKUP($D1368,Sheet1!$A$5:$C$192,3,TRUE)</f>
        <v>8</v>
      </c>
      <c r="K1368" s="42" t="str">
        <f>VLOOKUP($D1368,Sheet1!$A$5:$C$192,2,TRUE)</f>
        <v>//|</v>
      </c>
      <c r="L1368" s="6">
        <f>FLOOR(VLOOKUP($D1368,Sheet1!$D$5:$F$192,3,TRUE),1)</f>
        <v>18</v>
      </c>
      <c r="M1368" s="42" t="str">
        <f>VLOOKUP($D1368,Sheet1!$D$5:$F$192,2,TRUE)</f>
        <v>//|</v>
      </c>
      <c r="N1368" s="23">
        <f>FLOOR(VLOOKUP($D1368,Sheet1!$G$5:$I$192,3,TRUE),1)</f>
        <v>22</v>
      </c>
      <c r="O1368" s="42" t="str">
        <f>VLOOKUP($D1368,Sheet1!$G$5:$I$192,2,TRUE)</f>
        <v>//|</v>
      </c>
      <c r="P1368" s="23">
        <v>1</v>
      </c>
      <c r="Q1368" s="43" t="str">
        <f>VLOOKUP($D1368,Sheet1!$J$5:$L$192,2,TRUE)</f>
        <v>//|..</v>
      </c>
      <c r="R1368" s="23">
        <f>FLOOR(VLOOKUP($D1368,Sheet1!$M$5:$O$192,3,TRUE),1)</f>
        <v>86</v>
      </c>
      <c r="S1368" s="42" t="str">
        <f>VLOOKUP($D1368,Sheet1!$M$5:$O$192,2,TRUE)</f>
        <v>//|..</v>
      </c>
      <c r="T1368" s="117">
        <f>IF(ABS(D1368-VLOOKUP($D1368,Sheet1!$M$5:$T$192,8,TRUE))&lt;10^-10,"SoCA",D1368-VLOOKUP($D1368,Sheet1!$M$5:$T$192,8,TRUE))</f>
        <v>-0.14233167282147718</v>
      </c>
      <c r="U1368" s="109">
        <f>IF(VLOOKUP($D1368,Sheet1!$M$5:$U$192,9,TRUE)=0,"",IF(ABS(D1368-VLOOKUP($D1368,Sheet1!$M$5:$U$192,9,TRUE))&lt;10^-10,"Alt.",D1368-VLOOKUP($D1368,Sheet1!$M$5:$U$192,9,TRUE)))</f>
        <v>-0.15638384021593055</v>
      </c>
      <c r="V1368" s="132">
        <f>$D1368-Sheet1!$M$3*$R1368</f>
        <v>7.6733956149425353E-2</v>
      </c>
      <c r="Z1368" s="6"/>
      <c r="AA1368" s="61"/>
    </row>
    <row r="1369" spans="1:27" ht="13.5">
      <c r="A1369" t="s">
        <v>568</v>
      </c>
      <c r="B1369">
        <v>7371</v>
      </c>
      <c r="C1369">
        <v>7552</v>
      </c>
      <c r="D1369" s="13">
        <f t="shared" si="28"/>
        <v>41.998087534224339</v>
      </c>
      <c r="E1369" s="61" t="s">
        <v>1931</v>
      </c>
      <c r="F1369" s="65">
        <v>96.160281631561148</v>
      </c>
      <c r="G1369" s="6">
        <v>408</v>
      </c>
      <c r="H1369" s="6">
        <v>412</v>
      </c>
      <c r="I1369" s="65">
        <v>-6.5859752568454697</v>
      </c>
      <c r="J1369" s="6">
        <f>VLOOKUP($D1369,Sheet1!$A$5:$C$192,3,TRUE)</f>
        <v>8</v>
      </c>
      <c r="K1369" s="42" t="str">
        <f>VLOOKUP($D1369,Sheet1!$A$5:$C$192,2,TRUE)</f>
        <v>//|</v>
      </c>
      <c r="L1369" s="6">
        <f>FLOOR(VLOOKUP($D1369,Sheet1!$D$5:$F$192,3,TRUE),1)</f>
        <v>18</v>
      </c>
      <c r="M1369" s="42" t="str">
        <f>VLOOKUP($D1369,Sheet1!$D$5:$F$192,2,TRUE)</f>
        <v>//|</v>
      </c>
      <c r="N1369" s="23">
        <f>FLOOR(VLOOKUP($D1369,Sheet1!$G$5:$I$192,3,TRUE),1)</f>
        <v>22</v>
      </c>
      <c r="O1369" s="42" t="str">
        <f>VLOOKUP($D1369,Sheet1!$G$5:$I$192,2,TRUE)</f>
        <v>//|</v>
      </c>
      <c r="P1369" s="23">
        <v>1</v>
      </c>
      <c r="Q1369" s="43" t="str">
        <f>VLOOKUP($D1369,Sheet1!$J$5:$L$192,2,TRUE)</f>
        <v>//|..</v>
      </c>
      <c r="R1369" s="23">
        <f>FLOOR(VLOOKUP($D1369,Sheet1!$M$5:$O$192,3,TRUE),1)</f>
        <v>86</v>
      </c>
      <c r="S1369" s="42" t="str">
        <f>VLOOKUP($D1369,Sheet1!$M$5:$O$192,2,TRUE)</f>
        <v>//|..</v>
      </c>
      <c r="T1369" s="117">
        <f>IF(ABS(D1369-VLOOKUP($D1369,Sheet1!$M$5:$T$192,8,TRUE))&lt;10^-10,"SoCA",D1369-VLOOKUP($D1369,Sheet1!$M$5:$T$192,8,TRUE))</f>
        <v>-0.18196745510375223</v>
      </c>
      <c r="U1369" s="109">
        <f>IF(VLOOKUP($D1369,Sheet1!$M$5:$U$192,9,TRUE)=0,"",IF(ABS(D1369-VLOOKUP($D1369,Sheet1!$M$5:$U$192,9,TRUE))&lt;10^-10,"Alt.",D1369-VLOOKUP($D1369,Sheet1!$M$5:$U$192,9,TRUE)))</f>
        <v>-0.19601962249820559</v>
      </c>
      <c r="V1369" s="132">
        <f>$D1369-Sheet1!$M$3*$R1369</f>
        <v>3.7098173867150308E-2</v>
      </c>
      <c r="Z1369" s="6"/>
      <c r="AA1369" s="61"/>
    </row>
    <row r="1370" spans="1:27" ht="13.5">
      <c r="A1370" t="s">
        <v>987</v>
      </c>
      <c r="B1370">
        <v>122</v>
      </c>
      <c r="C1370">
        <v>125</v>
      </c>
      <c r="D1370" s="13">
        <f t="shared" si="28"/>
        <v>42.056336519040777</v>
      </c>
      <c r="E1370" s="61" t="s">
        <v>1931</v>
      </c>
      <c r="F1370" s="65">
        <v>106.48446730447475</v>
      </c>
      <c r="G1370" s="6">
        <v>900</v>
      </c>
      <c r="H1370" s="6">
        <v>835</v>
      </c>
      <c r="I1370" s="65">
        <v>-2.589561859053223</v>
      </c>
      <c r="J1370" s="6">
        <f>VLOOKUP($D1370,Sheet1!$A$5:$C$192,3,TRUE)</f>
        <v>8</v>
      </c>
      <c r="K1370" s="42" t="str">
        <f>VLOOKUP($D1370,Sheet1!$A$5:$C$192,2,TRUE)</f>
        <v>//|</v>
      </c>
      <c r="L1370" s="6">
        <f>FLOOR(VLOOKUP($D1370,Sheet1!$D$5:$F$192,3,TRUE),1)</f>
        <v>18</v>
      </c>
      <c r="M1370" s="42" t="str">
        <f>VLOOKUP($D1370,Sheet1!$D$5:$F$192,2,TRUE)</f>
        <v>//|</v>
      </c>
      <c r="N1370" s="23">
        <f>FLOOR(VLOOKUP($D1370,Sheet1!$G$5:$I$192,3,TRUE),1)</f>
        <v>22</v>
      </c>
      <c r="O1370" s="42" t="str">
        <f>VLOOKUP($D1370,Sheet1!$G$5:$I$192,2,TRUE)</f>
        <v>//|</v>
      </c>
      <c r="P1370" s="23">
        <v>1</v>
      </c>
      <c r="Q1370" s="43" t="str">
        <f>VLOOKUP($D1370,Sheet1!$J$5:$L$192,2,TRUE)</f>
        <v>//|..</v>
      </c>
      <c r="R1370" s="23">
        <f>FLOOR(VLOOKUP($D1370,Sheet1!$M$5:$O$192,3,TRUE),1)</f>
        <v>86</v>
      </c>
      <c r="S1370" s="42" t="str">
        <f>VLOOKUP($D1370,Sheet1!$M$5:$O$192,2,TRUE)</f>
        <v>//|..</v>
      </c>
      <c r="T1370" s="117">
        <f>IF(ABS(D1370-VLOOKUP($D1370,Sheet1!$M$5:$T$192,8,TRUE))&lt;10^-10,"SoCA",D1370-VLOOKUP($D1370,Sheet1!$M$5:$T$192,8,TRUE))</f>
        <v>-0.12371847028731509</v>
      </c>
      <c r="U1370" s="109">
        <f>IF(VLOOKUP($D1370,Sheet1!$M$5:$U$192,9,TRUE)=0,"",IF(ABS(D1370-VLOOKUP($D1370,Sheet1!$M$5:$U$192,9,TRUE))&lt;10^-10,"Alt.",D1370-VLOOKUP($D1370,Sheet1!$M$5:$U$192,9,TRUE)))</f>
        <v>-0.13777063768176845</v>
      </c>
      <c r="V1370" s="132">
        <f>$D1370-Sheet1!$M$3*$R1370</f>
        <v>9.5347158683587452E-2</v>
      </c>
      <c r="Z1370" s="6"/>
      <c r="AA1370" s="61"/>
    </row>
    <row r="1371" spans="1:27" ht="13.5">
      <c r="A1371" t="s">
        <v>1351</v>
      </c>
      <c r="B1371">
        <v>8126464</v>
      </c>
      <c r="C1371">
        <v>8325909</v>
      </c>
      <c r="D1371" s="13">
        <f t="shared" si="28"/>
        <v>41.976059068176056</v>
      </c>
      <c r="E1371" s="61">
        <v>47</v>
      </c>
      <c r="F1371" s="65">
        <v>106.92088444645405</v>
      </c>
      <c r="G1371" s="6">
        <v>1112</v>
      </c>
      <c r="H1371" s="6">
        <v>1200</v>
      </c>
      <c r="I1371" s="65">
        <v>8.4153811160631946</v>
      </c>
      <c r="J1371" s="6">
        <f>VLOOKUP($D1371,Sheet1!$A$5:$C$192,3,TRUE)</f>
        <v>8</v>
      </c>
      <c r="K1371" s="42" t="str">
        <f>VLOOKUP($D1371,Sheet1!$A$5:$C$192,2,TRUE)</f>
        <v>//|</v>
      </c>
      <c r="L1371" s="6">
        <f>FLOOR(VLOOKUP($D1371,Sheet1!$D$5:$F$192,3,TRUE),1)</f>
        <v>18</v>
      </c>
      <c r="M1371" s="42" t="str">
        <f>VLOOKUP($D1371,Sheet1!$D$5:$F$192,2,TRUE)</f>
        <v>//|</v>
      </c>
      <c r="N1371" s="23">
        <f>FLOOR(VLOOKUP($D1371,Sheet1!$G$5:$I$192,3,TRUE),1)</f>
        <v>22</v>
      </c>
      <c r="O1371" s="42" t="str">
        <f>VLOOKUP($D1371,Sheet1!$G$5:$I$192,2,TRUE)</f>
        <v>//|</v>
      </c>
      <c r="P1371" s="23">
        <v>1</v>
      </c>
      <c r="Q1371" s="43" t="str">
        <f>VLOOKUP($D1371,Sheet1!$J$5:$L$192,2,TRUE)</f>
        <v>//|..</v>
      </c>
      <c r="R1371" s="23">
        <f>FLOOR(VLOOKUP($D1371,Sheet1!$M$5:$O$192,3,TRUE),1)</f>
        <v>86</v>
      </c>
      <c r="S1371" s="42" t="str">
        <f>VLOOKUP($D1371,Sheet1!$M$5:$O$192,2,TRUE)</f>
        <v>//|..</v>
      </c>
      <c r="T1371" s="117">
        <f>IF(ABS(D1371-VLOOKUP($D1371,Sheet1!$M$5:$T$192,8,TRUE))&lt;10^-10,"SoCA",D1371-VLOOKUP($D1371,Sheet1!$M$5:$T$192,8,TRUE))</f>
        <v>-0.20399592115203546</v>
      </c>
      <c r="U1371" s="109">
        <f>IF(VLOOKUP($D1371,Sheet1!$M$5:$U$192,9,TRUE)=0,"",IF(ABS(D1371-VLOOKUP($D1371,Sheet1!$M$5:$U$192,9,TRUE))&lt;10^-10,"Alt.",D1371-VLOOKUP($D1371,Sheet1!$M$5:$U$192,9,TRUE)))</f>
        <v>-0.21804808854648883</v>
      </c>
      <c r="V1371" s="132">
        <f>$D1371-Sheet1!$M$3*$R1371</f>
        <v>1.5069707818867073E-2</v>
      </c>
      <c r="Z1371" s="6"/>
      <c r="AA1371" s="61"/>
    </row>
    <row r="1372" spans="1:27" ht="13.5">
      <c r="A1372" t="s">
        <v>1173</v>
      </c>
      <c r="B1372">
        <v>151552</v>
      </c>
      <c r="C1372">
        <v>155277</v>
      </c>
      <c r="D1372" s="13">
        <f t="shared" si="28"/>
        <v>42.03751070859073</v>
      </c>
      <c r="E1372" s="61" t="s">
        <v>1931</v>
      </c>
      <c r="F1372" s="65">
        <v>109.93818954920222</v>
      </c>
      <c r="G1372" s="6">
        <v>1076</v>
      </c>
      <c r="H1372" s="6">
        <v>1022</v>
      </c>
      <c r="I1372" s="65">
        <v>4.4115973146823482</v>
      </c>
      <c r="J1372" s="6">
        <f>VLOOKUP($D1372,Sheet1!$A$5:$C$192,3,TRUE)</f>
        <v>8</v>
      </c>
      <c r="K1372" s="42" t="str">
        <f>VLOOKUP($D1372,Sheet1!$A$5:$C$192,2,TRUE)</f>
        <v>//|</v>
      </c>
      <c r="L1372" s="6">
        <f>FLOOR(VLOOKUP($D1372,Sheet1!$D$5:$F$192,3,TRUE),1)</f>
        <v>18</v>
      </c>
      <c r="M1372" s="42" t="str">
        <f>VLOOKUP($D1372,Sheet1!$D$5:$F$192,2,TRUE)</f>
        <v>//|</v>
      </c>
      <c r="N1372" s="23">
        <f>FLOOR(VLOOKUP($D1372,Sheet1!$G$5:$I$192,3,TRUE),1)</f>
        <v>22</v>
      </c>
      <c r="O1372" s="42" t="str">
        <f>VLOOKUP($D1372,Sheet1!$G$5:$I$192,2,TRUE)</f>
        <v>//|</v>
      </c>
      <c r="P1372" s="23">
        <v>1</v>
      </c>
      <c r="Q1372" s="43" t="str">
        <f>VLOOKUP($D1372,Sheet1!$J$5:$L$192,2,TRUE)</f>
        <v>//|..</v>
      </c>
      <c r="R1372" s="23">
        <f>FLOOR(VLOOKUP($D1372,Sheet1!$M$5:$O$192,3,TRUE),1)</f>
        <v>86</v>
      </c>
      <c r="S1372" s="42" t="str">
        <f>VLOOKUP($D1372,Sheet1!$M$5:$O$192,2,TRUE)</f>
        <v>//|..</v>
      </c>
      <c r="T1372" s="117">
        <f>IF(ABS(D1372-VLOOKUP($D1372,Sheet1!$M$5:$T$192,8,TRUE))&lt;10^-10,"SoCA",D1372-VLOOKUP($D1372,Sheet1!$M$5:$T$192,8,TRUE))</f>
        <v>-0.14254428073736136</v>
      </c>
      <c r="U1372" s="109">
        <f>IF(VLOOKUP($D1372,Sheet1!$M$5:$U$192,9,TRUE)=0,"",IF(ABS(D1372-VLOOKUP($D1372,Sheet1!$M$5:$U$192,9,TRUE))&lt;10^-10,"Alt.",D1372-VLOOKUP($D1372,Sheet1!$M$5:$U$192,9,TRUE)))</f>
        <v>-0.15659644813181473</v>
      </c>
      <c r="V1372" s="132">
        <f>$D1372-Sheet1!$M$3*$R1372</f>
        <v>7.6521348233541175E-2</v>
      </c>
      <c r="Z1372" s="6"/>
      <c r="AA1372" s="61"/>
    </row>
    <row r="1373" spans="1:27" ht="13.5">
      <c r="A1373" t="s">
        <v>1572</v>
      </c>
      <c r="B1373">
        <v>131006403</v>
      </c>
      <c r="C1373">
        <v>134217728</v>
      </c>
      <c r="D1373" s="13">
        <f t="shared" si="28"/>
        <v>41.925498014011161</v>
      </c>
      <c r="E1373" s="61">
        <v>31</v>
      </c>
      <c r="F1373" s="65">
        <v>167.58394974580659</v>
      </c>
      <c r="G1373" s="6">
        <v>1478</v>
      </c>
      <c r="H1373" s="6">
        <v>1421</v>
      </c>
      <c r="I1373" s="65">
        <v>-8.5815056556279234</v>
      </c>
      <c r="J1373" s="6">
        <f>VLOOKUP($D1373,Sheet1!$A$5:$C$192,3,TRUE)</f>
        <v>8</v>
      </c>
      <c r="K1373" s="42" t="str">
        <f>VLOOKUP($D1373,Sheet1!$A$5:$C$192,2,TRUE)</f>
        <v>//|</v>
      </c>
      <c r="L1373" s="6">
        <f>FLOOR(VLOOKUP($D1373,Sheet1!$D$5:$F$192,3,TRUE),1)</f>
        <v>18</v>
      </c>
      <c r="M1373" s="42" t="str">
        <f>VLOOKUP($D1373,Sheet1!$D$5:$F$192,2,TRUE)</f>
        <v>//|</v>
      </c>
      <c r="N1373" s="23">
        <f>FLOOR(VLOOKUP($D1373,Sheet1!$G$5:$I$192,3,TRUE),1)</f>
        <v>22</v>
      </c>
      <c r="O1373" s="42" t="str">
        <f>VLOOKUP($D1373,Sheet1!$G$5:$I$192,2,TRUE)</f>
        <v>//|</v>
      </c>
      <c r="P1373" s="23">
        <v>1</v>
      </c>
      <c r="Q1373" s="43" t="str">
        <f>VLOOKUP($D1373,Sheet1!$J$5:$L$192,2,TRUE)</f>
        <v>//|..</v>
      </c>
      <c r="R1373" s="23">
        <f>FLOOR(VLOOKUP($D1373,Sheet1!$M$5:$O$192,3,TRUE),1)</f>
        <v>86</v>
      </c>
      <c r="S1373" s="42" t="str">
        <f>VLOOKUP($D1373,Sheet1!$M$5:$O$192,2,TRUE)</f>
        <v>//|..</v>
      </c>
      <c r="T1373" s="117">
        <f>IF(ABS(D1373-VLOOKUP($D1373,Sheet1!$M$5:$T$192,8,TRUE))&lt;10^-10,"SoCA",D1373-VLOOKUP($D1373,Sheet1!$M$5:$T$192,8,TRUE))</f>
        <v>-0.25455697531693033</v>
      </c>
      <c r="U1373" s="109">
        <f>IF(VLOOKUP($D1373,Sheet1!$M$5:$U$192,9,TRUE)=0,"",IF(ABS(D1373-VLOOKUP($D1373,Sheet1!$M$5:$U$192,9,TRUE))&lt;10^-10,"Alt.",D1373-VLOOKUP($D1373,Sheet1!$M$5:$U$192,9,TRUE)))</f>
        <v>-0.2686091427113837</v>
      </c>
      <c r="V1373" s="132">
        <f>$D1373-Sheet1!$M$3*$R1373</f>
        <v>-3.5491346346027797E-2</v>
      </c>
      <c r="Z1373" s="6"/>
      <c r="AA1373" s="61"/>
    </row>
    <row r="1374" spans="1:27" ht="13.5">
      <c r="A1374" t="s">
        <v>1460</v>
      </c>
      <c r="B1374">
        <v>4784128</v>
      </c>
      <c r="C1374">
        <v>4901067</v>
      </c>
      <c r="D1374" s="13">
        <f t="shared" si="28"/>
        <v>41.807855614163245</v>
      </c>
      <c r="E1374" s="61" t="s">
        <v>1931</v>
      </c>
      <c r="F1374" s="65">
        <v>172.72347807780992</v>
      </c>
      <c r="G1374" s="6">
        <v>1373</v>
      </c>
      <c r="H1374" s="6">
        <v>1309</v>
      </c>
      <c r="I1374" s="65">
        <v>7.4257380155253099</v>
      </c>
      <c r="J1374" s="6">
        <f>VLOOKUP($D1374,Sheet1!$A$5:$C$192,3,TRUE)</f>
        <v>8</v>
      </c>
      <c r="K1374" s="42" t="str">
        <f>VLOOKUP($D1374,Sheet1!$A$5:$C$192,2,TRUE)</f>
        <v>//|</v>
      </c>
      <c r="L1374" s="6">
        <f>FLOOR(VLOOKUP($D1374,Sheet1!$D$5:$F$192,3,TRUE),1)</f>
        <v>18</v>
      </c>
      <c r="M1374" s="42" t="str">
        <f>VLOOKUP($D1374,Sheet1!$D$5:$F$192,2,TRUE)</f>
        <v>//|</v>
      </c>
      <c r="N1374" s="23">
        <f>FLOOR(VLOOKUP($D1374,Sheet1!$G$5:$I$192,3,TRUE),1)</f>
        <v>22</v>
      </c>
      <c r="O1374" s="42" t="str">
        <f>VLOOKUP($D1374,Sheet1!$G$5:$I$192,2,TRUE)</f>
        <v>//|</v>
      </c>
      <c r="P1374" s="23">
        <v>1</v>
      </c>
      <c r="Q1374" s="43" t="str">
        <f>VLOOKUP($D1374,Sheet1!$J$5:$L$192,2,TRUE)</f>
        <v>//|..</v>
      </c>
      <c r="R1374" s="23">
        <f>FLOOR(VLOOKUP($D1374,Sheet1!$M$5:$O$192,3,TRUE),1)</f>
        <v>86</v>
      </c>
      <c r="S1374" s="42" t="str">
        <f>VLOOKUP($D1374,Sheet1!$M$5:$O$192,2,TRUE)</f>
        <v>//|..</v>
      </c>
      <c r="T1374" s="117">
        <f>IF(ABS(D1374-VLOOKUP($D1374,Sheet1!$M$5:$T$192,8,TRUE))&lt;10^-10,"SoCA",D1374-VLOOKUP($D1374,Sheet1!$M$5:$T$192,8,TRUE))</f>
        <v>-0.37219937516484691</v>
      </c>
      <c r="U1374" s="109">
        <f>IF(VLOOKUP($D1374,Sheet1!$M$5:$U$192,9,TRUE)=0,"",IF(ABS(D1374-VLOOKUP($D1374,Sheet1!$M$5:$U$192,9,TRUE))&lt;10^-10,"Alt.",D1374-VLOOKUP($D1374,Sheet1!$M$5:$U$192,9,TRUE)))</f>
        <v>-0.38625154255930028</v>
      </c>
      <c r="V1374" s="132">
        <f>$D1374-Sheet1!$M$3*$R1374</f>
        <v>-0.15313374619394438</v>
      </c>
      <c r="Z1374" s="6"/>
      <c r="AA1374" s="61"/>
    </row>
    <row r="1375" spans="1:27" ht="13.5">
      <c r="A1375" t="s">
        <v>1476</v>
      </c>
      <c r="B1375">
        <v>1249263</v>
      </c>
      <c r="C1375">
        <v>1280000</v>
      </c>
      <c r="D1375" s="13">
        <f t="shared" si="28"/>
        <v>42.079895032010036</v>
      </c>
      <c r="E1375" s="61" t="s">
        <v>1931</v>
      </c>
      <c r="F1375" s="65">
        <v>8262.90864583654</v>
      </c>
      <c r="G1375" s="6">
        <v>1387</v>
      </c>
      <c r="H1375" s="6">
        <v>1325</v>
      </c>
      <c r="I1375" s="65">
        <v>-7.5910124425250762</v>
      </c>
      <c r="J1375" s="6">
        <f>VLOOKUP($D1375,Sheet1!$A$5:$C$192,3,TRUE)</f>
        <v>8</v>
      </c>
      <c r="K1375" s="42" t="str">
        <f>VLOOKUP($D1375,Sheet1!$A$5:$C$192,2,TRUE)</f>
        <v>//|</v>
      </c>
      <c r="L1375" s="6">
        <f>FLOOR(VLOOKUP($D1375,Sheet1!$D$5:$F$192,3,TRUE),1)</f>
        <v>18</v>
      </c>
      <c r="M1375" s="42" t="str">
        <f>VLOOKUP($D1375,Sheet1!$D$5:$F$192,2,TRUE)</f>
        <v>//|</v>
      </c>
      <c r="N1375" s="23">
        <f>FLOOR(VLOOKUP($D1375,Sheet1!$G$5:$I$192,3,TRUE),1)</f>
        <v>22</v>
      </c>
      <c r="O1375" s="42" t="str">
        <f>VLOOKUP($D1375,Sheet1!$G$5:$I$192,2,TRUE)</f>
        <v>//|</v>
      </c>
      <c r="P1375" s="23">
        <v>1</v>
      </c>
      <c r="Q1375" s="43" t="str">
        <f>VLOOKUP($D1375,Sheet1!$J$5:$L$192,2,TRUE)</f>
        <v>//|..</v>
      </c>
      <c r="R1375" s="23">
        <f>FLOOR(VLOOKUP($D1375,Sheet1!$M$5:$O$192,3,TRUE),1)</f>
        <v>86</v>
      </c>
      <c r="S1375" s="42" t="str">
        <f>VLOOKUP($D1375,Sheet1!$M$5:$O$192,2,TRUE)</f>
        <v>//|..</v>
      </c>
      <c r="T1375" s="117">
        <f>IF(ABS(D1375-VLOOKUP($D1375,Sheet1!$M$5:$T$192,8,TRUE))&lt;10^-10,"SoCA",D1375-VLOOKUP($D1375,Sheet1!$M$5:$T$192,8,TRUE))</f>
        <v>-0.1001599573180556</v>
      </c>
      <c r="U1375" s="109">
        <f>IF(VLOOKUP($D1375,Sheet1!$M$5:$U$192,9,TRUE)=0,"",IF(ABS(D1375-VLOOKUP($D1375,Sheet1!$M$5:$U$192,9,TRUE))&lt;10^-10,"Alt.",D1375-VLOOKUP($D1375,Sheet1!$M$5:$U$192,9,TRUE)))</f>
        <v>-0.11421212471250897</v>
      </c>
      <c r="V1375" s="132">
        <f>$D1375-Sheet1!$M$3*$R1375</f>
        <v>0.11890567165284693</v>
      </c>
      <c r="Z1375" s="6"/>
      <c r="AA1375" s="61"/>
    </row>
    <row r="1376" spans="1:27" ht="13.5">
      <c r="A1376" s="6" t="s">
        <v>715</v>
      </c>
      <c r="B1376" s="6">
        <f>3^2*5*17</f>
        <v>765</v>
      </c>
      <c r="C1376" s="6">
        <f>2^4*7^2</f>
        <v>784</v>
      </c>
      <c r="D1376" s="13">
        <f t="shared" si="28"/>
        <v>42.472687842232766</v>
      </c>
      <c r="E1376" s="61">
        <v>17</v>
      </c>
      <c r="F1376" s="65">
        <v>36.286437283649462</v>
      </c>
      <c r="G1376" s="6">
        <v>600</v>
      </c>
      <c r="H1376" s="6">
        <v>560</v>
      </c>
      <c r="I1376" s="65">
        <v>-4.6151981268726079</v>
      </c>
      <c r="J1376" s="6">
        <f>VLOOKUP($D1376,Sheet1!$A$5:$C$192,3,TRUE)</f>
        <v>8</v>
      </c>
      <c r="K1376" s="42" t="str">
        <f>VLOOKUP($D1376,Sheet1!$A$5:$C$192,2,TRUE)</f>
        <v>//|</v>
      </c>
      <c r="L1376" s="6">
        <f>FLOOR(VLOOKUP($D1376,Sheet1!$D$5:$F$192,3,TRUE),1)</f>
        <v>18</v>
      </c>
      <c r="M1376" s="42" t="str">
        <f>VLOOKUP($D1376,Sheet1!$D$5:$F$192,2,TRUE)</f>
        <v>//|</v>
      </c>
      <c r="N1376" s="23">
        <f>FLOOR(VLOOKUP($D1376,Sheet1!$G$5:$I$192,3,TRUE),1)</f>
        <v>22</v>
      </c>
      <c r="O1376" s="42" t="str">
        <f>VLOOKUP($D1376,Sheet1!$G$5:$I$192,2,TRUE)</f>
        <v>//|</v>
      </c>
      <c r="P1376" s="23">
        <v>1</v>
      </c>
      <c r="Q1376" s="43" t="str">
        <f>VLOOKUP($D1376,Sheet1!$J$5:$L$192,2,TRUE)</f>
        <v>//|.</v>
      </c>
      <c r="R1376" s="23">
        <f>FLOOR(VLOOKUP($D1376,Sheet1!$M$5:$O$192,3,TRUE),1)</f>
        <v>87</v>
      </c>
      <c r="S1376" s="42" t="str">
        <f>VLOOKUP($D1376,Sheet1!$M$5:$O$192,2,TRUE)</f>
        <v>//|.</v>
      </c>
      <c r="T1376" s="117">
        <f>IF(ABS(D1376-VLOOKUP($D1376,Sheet1!$M$5:$T$192,8,TRUE))&lt;10^-10,"SoCA",D1376-VLOOKUP($D1376,Sheet1!$M$5:$T$192,8,TRUE))</f>
        <v>-0.1171751852420968</v>
      </c>
      <c r="U1376" s="109">
        <f>IF(VLOOKUP($D1376,Sheet1!$M$5:$U$192,9,TRUE)=0,"",IF(ABS(D1376-VLOOKUP($D1376,Sheet1!$M$5:$U$192,9,TRUE))&lt;10^-10,"Alt.",D1376-VLOOKUP($D1376,Sheet1!$M$5:$U$192,9,TRUE)))</f>
        <v>-0.1441354804445325</v>
      </c>
      <c r="V1376" s="132">
        <f>$D1376-Sheet1!$M$3*$R1376</f>
        <v>2.3780000941187041E-2</v>
      </c>
      <c r="Z1376" s="6"/>
      <c r="AA1376" s="61"/>
    </row>
    <row r="1377" spans="1:27" ht="13.5">
      <c r="A1377" s="38" t="s">
        <v>447</v>
      </c>
      <c r="B1377" s="38">
        <f>2^20*5</f>
        <v>5242880</v>
      </c>
      <c r="C1377" s="38">
        <f>3^10*7*13</f>
        <v>5373459</v>
      </c>
      <c r="D1377" s="13">
        <f t="shared" si="28"/>
        <v>42.589863027474955</v>
      </c>
      <c r="E1377" s="61">
        <v>13</v>
      </c>
      <c r="F1377" s="65">
        <v>40.835894403730123</v>
      </c>
      <c r="G1377" s="6">
        <v>276</v>
      </c>
      <c r="H1377" s="6">
        <v>285</v>
      </c>
      <c r="I1377" s="65">
        <v>7.3775869700795891</v>
      </c>
      <c r="J1377" s="6">
        <f>VLOOKUP($D1377,Sheet1!$A$5:$C$192,3,TRUE)</f>
        <v>8</v>
      </c>
      <c r="K1377" s="42" t="str">
        <f>VLOOKUP($D1377,Sheet1!$A$5:$C$192,2,TRUE)</f>
        <v>//|</v>
      </c>
      <c r="L1377" s="6">
        <f>FLOOR(VLOOKUP($D1377,Sheet1!$D$5:$F$192,3,TRUE),1)</f>
        <v>18</v>
      </c>
      <c r="M1377" s="42" t="str">
        <f>VLOOKUP($D1377,Sheet1!$D$5:$F$192,2,TRUE)</f>
        <v>//|</v>
      </c>
      <c r="N1377" s="23">
        <f>FLOOR(VLOOKUP($D1377,Sheet1!$G$5:$I$192,3,TRUE),1)</f>
        <v>22</v>
      </c>
      <c r="O1377" s="42" t="str">
        <f>VLOOKUP($D1377,Sheet1!$G$5:$I$192,2,TRUE)</f>
        <v>//|</v>
      </c>
      <c r="P1377" s="23">
        <v>1</v>
      </c>
      <c r="Q1377" s="45" t="str">
        <f>VLOOKUP($D1377,Sheet1!$J$5:$L$192,2,TRUE)</f>
        <v>//|.</v>
      </c>
      <c r="R1377" s="38">
        <f>FLOOR(VLOOKUP($D1377,Sheet1!$M$5:$O$192,3,TRUE),1)</f>
        <v>87</v>
      </c>
      <c r="S1377" s="45" t="str">
        <f>VLOOKUP($D1377,Sheet1!$M$5:$O$192,2,TRUE)</f>
        <v>//|.</v>
      </c>
      <c r="T1377" s="112" t="str">
        <f>IF(ABS(D1377-VLOOKUP($D1377,Sheet1!$M$5:$T$192,8,TRUE))&lt;10^-10,"SoCA",D1377-VLOOKUP($D1377,Sheet1!$M$5:$T$192,8,TRUE))</f>
        <v>SoCA</v>
      </c>
      <c r="U1377" s="108">
        <f>IF(VLOOKUP($D1377,Sheet1!$M$5:$U$192,9,TRUE)=0,"",IF(ABS(D1377-VLOOKUP($D1377,Sheet1!$M$5:$U$192,9,TRUE))&lt;10^-10,"Alt.",D1377-VLOOKUP($D1377,Sheet1!$M$5:$U$192,9,TRUE)))</f>
        <v>-2.6960295202343332E-2</v>
      </c>
      <c r="V1377" s="133">
        <f>$D1377-Sheet1!$M$3*$R1377</f>
        <v>0.14095518618337621</v>
      </c>
      <c r="Z1377" s="6"/>
      <c r="AA1377" s="61"/>
    </row>
    <row r="1378" spans="1:27" ht="13.5">
      <c r="A1378" s="23" t="s">
        <v>971</v>
      </c>
      <c r="B1378" s="23">
        <f>2^11*11</f>
        <v>22528</v>
      </c>
      <c r="C1378" s="23">
        <f>3^5*5*19</f>
        <v>23085</v>
      </c>
      <c r="D1378" s="13">
        <f t="shared" si="28"/>
        <v>42.283791959317689</v>
      </c>
      <c r="E1378" s="61">
        <v>19</v>
      </c>
      <c r="F1378" s="65">
        <v>42.371675342615312</v>
      </c>
      <c r="G1378" s="6">
        <v>880</v>
      </c>
      <c r="H1378" s="6">
        <v>819</v>
      </c>
      <c r="I1378" s="65">
        <v>2.3964328808236424</v>
      </c>
      <c r="J1378" s="6">
        <f>VLOOKUP($D1378,Sheet1!$A$5:$C$192,3,TRUE)</f>
        <v>8</v>
      </c>
      <c r="K1378" s="42" t="str">
        <f>VLOOKUP($D1378,Sheet1!$A$5:$C$192,2,TRUE)</f>
        <v>//|</v>
      </c>
      <c r="L1378" s="6">
        <f>FLOOR(VLOOKUP($D1378,Sheet1!$D$5:$F$192,3,TRUE),1)</f>
        <v>18</v>
      </c>
      <c r="M1378" s="42" t="str">
        <f>VLOOKUP($D1378,Sheet1!$D$5:$F$192,2,TRUE)</f>
        <v>//|</v>
      </c>
      <c r="N1378" s="23">
        <f>FLOOR(VLOOKUP($D1378,Sheet1!$G$5:$I$192,3,TRUE),1)</f>
        <v>22</v>
      </c>
      <c r="O1378" s="42" t="str">
        <f>VLOOKUP($D1378,Sheet1!$G$5:$I$192,2,TRUE)</f>
        <v>//|</v>
      </c>
      <c r="P1378" s="23">
        <v>1</v>
      </c>
      <c r="Q1378" s="43" t="str">
        <f>VLOOKUP($D1378,Sheet1!$J$5:$L$192,2,TRUE)</f>
        <v>//|.</v>
      </c>
      <c r="R1378" s="23">
        <f>FLOOR(VLOOKUP($D1378,Sheet1!$M$5:$O$192,3,TRUE),1)</f>
        <v>87</v>
      </c>
      <c r="S1378" s="43" t="str">
        <f>VLOOKUP($D1378,Sheet1!$M$5:$O$192,2,TRUE)</f>
        <v>//|.</v>
      </c>
      <c r="T1378" s="117">
        <f>IF(ABS(D1378-VLOOKUP($D1378,Sheet1!$M$5:$T$192,8,TRUE))&lt;10^-10,"SoCA",D1378-VLOOKUP($D1378,Sheet1!$M$5:$T$192,8,TRUE))</f>
        <v>-0.30607106815717344</v>
      </c>
      <c r="U1378" s="117">
        <f>IF(VLOOKUP($D1378,Sheet1!$M$5:$U$192,9,TRUE)=0,"",IF(ABS(D1378-VLOOKUP($D1378,Sheet1!$M$5:$U$192,9,TRUE))&lt;10^-10,"Alt.",D1378-VLOOKUP($D1378,Sheet1!$M$5:$U$192,9,TRUE)))</f>
        <v>-0.33303136335960914</v>
      </c>
      <c r="V1378" s="132">
        <f>$D1378-Sheet1!$M$3*$R1378</f>
        <v>-0.1651158819738896</v>
      </c>
      <c r="Z1378" s="6"/>
      <c r="AA1378" s="61"/>
    </row>
    <row r="1379" spans="1:27" ht="13.5">
      <c r="A1379" s="6" t="s">
        <v>481</v>
      </c>
      <c r="B1379" s="24">
        <f>2^4*7^3</f>
        <v>5488</v>
      </c>
      <c r="C1379" s="24">
        <f>3^2*5^4</f>
        <v>5625</v>
      </c>
      <c r="D1379" s="13">
        <f t="shared" si="28"/>
        <v>42.687137782739427</v>
      </c>
      <c r="E1379" s="61">
        <v>7</v>
      </c>
      <c r="F1379" s="65">
        <v>49.25761555979043</v>
      </c>
      <c r="G1379" s="6">
        <v>366</v>
      </c>
      <c r="H1379" s="6">
        <v>320</v>
      </c>
      <c r="I1379" s="65">
        <v>-0.62840259099327289</v>
      </c>
      <c r="J1379" s="6">
        <f>VLOOKUP($D1379,Sheet1!$A$5:$C$192,3,TRUE)</f>
        <v>8</v>
      </c>
      <c r="K1379" s="42" t="str">
        <f>VLOOKUP($D1379,Sheet1!$A$5:$C$192,2,TRUE)</f>
        <v>//|</v>
      </c>
      <c r="L1379" s="6">
        <f>FLOOR(VLOOKUP($D1379,Sheet1!$D$5:$F$192,3,TRUE),1)</f>
        <v>18</v>
      </c>
      <c r="M1379" s="42" t="str">
        <f>VLOOKUP($D1379,Sheet1!$D$5:$F$192,2,TRUE)</f>
        <v>//|</v>
      </c>
      <c r="N1379" s="23">
        <f>FLOOR(VLOOKUP($D1379,Sheet1!$G$5:$I$192,3,TRUE),1)</f>
        <v>22</v>
      </c>
      <c r="O1379" s="42" t="str">
        <f>VLOOKUP($D1379,Sheet1!$G$5:$I$192,2,TRUE)</f>
        <v>//|</v>
      </c>
      <c r="P1379" s="23">
        <v>1</v>
      </c>
      <c r="Q1379" s="43" t="str">
        <f>VLOOKUP($D1379,Sheet1!$J$5:$L$192,2,TRUE)</f>
        <v>//|.</v>
      </c>
      <c r="R1379" s="23">
        <f>FLOOR(VLOOKUP($D1379,Sheet1!$M$5:$O$192,3,TRUE),1)</f>
        <v>87</v>
      </c>
      <c r="S1379" s="42" t="str">
        <f>VLOOKUP($D1379,Sheet1!$M$5:$O$192,2,TRUE)</f>
        <v>//|.</v>
      </c>
      <c r="T1379" s="117">
        <f>IF(ABS(D1379-VLOOKUP($D1379,Sheet1!$M$5:$T$192,8,TRUE))&lt;10^-10,"SoCA",D1379-VLOOKUP($D1379,Sheet1!$M$5:$T$192,8,TRUE))</f>
        <v>9.7274755264564305E-2</v>
      </c>
      <c r="U1379" s="109">
        <f>IF(VLOOKUP($D1379,Sheet1!$M$5:$U$192,9,TRUE)=0,"",IF(ABS(D1379-VLOOKUP($D1379,Sheet1!$M$5:$U$192,9,TRUE))&lt;10^-10,"Alt.",D1379-VLOOKUP($D1379,Sheet1!$M$5:$U$192,9,TRUE)))</f>
        <v>7.0314460062128603E-2</v>
      </c>
      <c r="V1379" s="132">
        <f>$D1379-Sheet1!$M$3*$R1379</f>
        <v>0.23822994144784815</v>
      </c>
      <c r="Z1379" s="6"/>
      <c r="AA1379" s="61"/>
    </row>
    <row r="1380" spans="1:27" ht="13.5">
      <c r="A1380" t="s">
        <v>545</v>
      </c>
      <c r="B1380">
        <v>557056</v>
      </c>
      <c r="C1380">
        <v>570807</v>
      </c>
      <c r="D1380" s="13">
        <f t="shared" si="28"/>
        <v>42.216792441165929</v>
      </c>
      <c r="E1380" s="61">
        <v>29</v>
      </c>
      <c r="F1380" s="65">
        <v>52.378044038274801</v>
      </c>
      <c r="G1380" s="6">
        <v>398</v>
      </c>
      <c r="H1380" s="6">
        <v>388</v>
      </c>
      <c r="I1380" s="65">
        <v>6.4005582852487803</v>
      </c>
      <c r="J1380" s="6">
        <f>VLOOKUP($D1380,Sheet1!$A$5:$C$192,3,TRUE)</f>
        <v>8</v>
      </c>
      <c r="K1380" s="42" t="str">
        <f>VLOOKUP($D1380,Sheet1!$A$5:$C$192,2,TRUE)</f>
        <v>//|</v>
      </c>
      <c r="L1380" s="6">
        <f>FLOOR(VLOOKUP($D1380,Sheet1!$D$5:$F$192,3,TRUE),1)</f>
        <v>18</v>
      </c>
      <c r="M1380" s="42" t="str">
        <f>VLOOKUP($D1380,Sheet1!$D$5:$F$192,2,TRUE)</f>
        <v>//|</v>
      </c>
      <c r="N1380" s="23">
        <f>FLOOR(VLOOKUP($D1380,Sheet1!$G$5:$I$192,3,TRUE),1)</f>
        <v>22</v>
      </c>
      <c r="O1380" s="42" t="str">
        <f>VLOOKUP($D1380,Sheet1!$G$5:$I$192,2,TRUE)</f>
        <v>//|</v>
      </c>
      <c r="P1380" s="23">
        <v>1</v>
      </c>
      <c r="Q1380" s="43" t="str">
        <f>VLOOKUP($D1380,Sheet1!$J$5:$L$192,2,TRUE)</f>
        <v>//|.</v>
      </c>
      <c r="R1380" s="23">
        <f>FLOOR(VLOOKUP($D1380,Sheet1!$M$5:$O$192,3,TRUE),1)</f>
        <v>87</v>
      </c>
      <c r="S1380" s="42" t="str">
        <f>VLOOKUP($D1380,Sheet1!$M$5:$O$192,2,TRUE)</f>
        <v>//|.</v>
      </c>
      <c r="T1380" s="117">
        <f>IF(ABS(D1380-VLOOKUP($D1380,Sheet1!$M$5:$T$192,8,TRUE))&lt;10^-10,"SoCA",D1380-VLOOKUP($D1380,Sheet1!$M$5:$T$192,8,TRUE))</f>
        <v>-0.37307058630893408</v>
      </c>
      <c r="U1380" s="109">
        <f>IF(VLOOKUP($D1380,Sheet1!$M$5:$U$192,9,TRUE)=0,"",IF(ABS(D1380-VLOOKUP($D1380,Sheet1!$M$5:$U$192,9,TRUE))&lt;10^-10,"Alt.",D1380-VLOOKUP($D1380,Sheet1!$M$5:$U$192,9,TRUE)))</f>
        <v>-0.40003088151136978</v>
      </c>
      <c r="V1380" s="132">
        <f>$D1380-Sheet1!$M$3*$R1380</f>
        <v>-0.23211540012565024</v>
      </c>
      <c r="Z1380" s="6"/>
      <c r="AA1380" s="61"/>
    </row>
    <row r="1381" spans="1:27" ht="13.5">
      <c r="A1381" s="23" t="s">
        <v>168</v>
      </c>
      <c r="B1381" s="23">
        <f>2^3*7^4</f>
        <v>19208</v>
      </c>
      <c r="C1381" s="23">
        <f>3^9</f>
        <v>19683</v>
      </c>
      <c r="D1381" s="13">
        <f t="shared" si="28"/>
        <v>42.291381911986953</v>
      </c>
      <c r="E1381" s="61">
        <v>7</v>
      </c>
      <c r="F1381" s="65">
        <v>56.001161302901757</v>
      </c>
      <c r="G1381" s="6">
        <v>168</v>
      </c>
      <c r="H1381" s="6">
        <v>163</v>
      </c>
      <c r="I1381" s="65">
        <v>6.3959655397860926</v>
      </c>
      <c r="J1381" s="6">
        <f>VLOOKUP($D1381,Sheet1!$A$5:$C$192,3,TRUE)</f>
        <v>8</v>
      </c>
      <c r="K1381" s="42" t="str">
        <f>VLOOKUP($D1381,Sheet1!$A$5:$C$192,2,TRUE)</f>
        <v>//|</v>
      </c>
      <c r="L1381" s="6">
        <f>FLOOR(VLOOKUP($D1381,Sheet1!$D$5:$F$192,3,TRUE),1)</f>
        <v>18</v>
      </c>
      <c r="M1381" s="42" t="str">
        <f>VLOOKUP($D1381,Sheet1!$D$5:$F$192,2,TRUE)</f>
        <v>//|</v>
      </c>
      <c r="N1381" s="23">
        <f>FLOOR(VLOOKUP($D1381,Sheet1!$G$5:$I$192,3,TRUE),1)</f>
        <v>22</v>
      </c>
      <c r="O1381" s="42" t="str">
        <f>VLOOKUP($D1381,Sheet1!$G$5:$I$192,2,TRUE)</f>
        <v>//|</v>
      </c>
      <c r="P1381" s="23">
        <v>1</v>
      </c>
      <c r="Q1381" s="43" t="str">
        <f>VLOOKUP($D1381,Sheet1!$J$5:$L$192,2,TRUE)</f>
        <v>//|.</v>
      </c>
      <c r="R1381" s="23">
        <f>FLOOR(VLOOKUP($D1381,Sheet1!$M$5:$O$192,3,TRUE),1)</f>
        <v>87</v>
      </c>
      <c r="S1381" s="43" t="str">
        <f>VLOOKUP($D1381,Sheet1!$M$5:$O$192,2,TRUE)</f>
        <v>//|.</v>
      </c>
      <c r="T1381" s="117">
        <f>IF(ABS(D1381-VLOOKUP($D1381,Sheet1!$M$5:$T$192,8,TRUE))&lt;10^-10,"SoCA",D1381-VLOOKUP($D1381,Sheet1!$M$5:$T$192,8,TRUE))</f>
        <v>-0.29848111548790968</v>
      </c>
      <c r="U1381" s="117">
        <f>IF(VLOOKUP($D1381,Sheet1!$M$5:$U$192,9,TRUE)=0,"",IF(ABS(D1381-VLOOKUP($D1381,Sheet1!$M$5:$U$192,9,TRUE))&lt;10^-10,"Alt.",D1381-VLOOKUP($D1381,Sheet1!$M$5:$U$192,9,TRUE)))</f>
        <v>-0.32544141069034538</v>
      </c>
      <c r="V1381" s="134">
        <f>$D1381-Sheet1!$M$3*$R1381</f>
        <v>-0.15752592930462583</v>
      </c>
      <c r="Z1381" s="6"/>
      <c r="AA1381" s="61"/>
    </row>
    <row r="1382" spans="1:27" ht="13.5">
      <c r="A1382" s="6" t="s">
        <v>522</v>
      </c>
      <c r="B1382" s="6">
        <f>3^4</f>
        <v>81</v>
      </c>
      <c r="C1382" s="6">
        <f>83</f>
        <v>83</v>
      </c>
      <c r="D1382" s="13">
        <f t="shared" si="28"/>
        <v>42.227314154760215</v>
      </c>
      <c r="E1382" s="61" t="s">
        <v>1931</v>
      </c>
      <c r="F1382" s="65">
        <v>100.98679214318919</v>
      </c>
      <c r="G1382" s="6">
        <v>365</v>
      </c>
      <c r="H1382" s="6">
        <v>364</v>
      </c>
      <c r="I1382" s="65">
        <v>-6.6000895749899096</v>
      </c>
      <c r="J1382" s="6">
        <f>VLOOKUP($D1382,Sheet1!$A$5:$C$192,3,TRUE)</f>
        <v>8</v>
      </c>
      <c r="K1382" s="42" t="str">
        <f>VLOOKUP($D1382,Sheet1!$A$5:$C$192,2,TRUE)</f>
        <v>//|</v>
      </c>
      <c r="L1382" s="6">
        <f>FLOOR(VLOOKUP($D1382,Sheet1!$D$5:$F$192,3,TRUE),1)</f>
        <v>18</v>
      </c>
      <c r="M1382" s="42" t="str">
        <f>VLOOKUP($D1382,Sheet1!$D$5:$F$192,2,TRUE)</f>
        <v>//|</v>
      </c>
      <c r="N1382" s="23">
        <f>FLOOR(VLOOKUP($D1382,Sheet1!$G$5:$I$192,3,TRUE),1)</f>
        <v>22</v>
      </c>
      <c r="O1382" s="42" t="str">
        <f>VLOOKUP($D1382,Sheet1!$G$5:$I$192,2,TRUE)</f>
        <v>//|</v>
      </c>
      <c r="P1382" s="23">
        <v>1</v>
      </c>
      <c r="Q1382" s="43" t="str">
        <f>VLOOKUP($D1382,Sheet1!$J$5:$L$192,2,TRUE)</f>
        <v>//|.</v>
      </c>
      <c r="R1382" s="23">
        <f>FLOOR(VLOOKUP($D1382,Sheet1!$M$5:$O$192,3,TRUE),1)</f>
        <v>87</v>
      </c>
      <c r="S1382" s="42" t="str">
        <f>VLOOKUP($D1382,Sheet1!$M$5:$O$192,2,TRUE)</f>
        <v>//|.</v>
      </c>
      <c r="T1382" s="117">
        <f>IF(ABS(D1382-VLOOKUP($D1382,Sheet1!$M$5:$T$192,8,TRUE))&lt;10^-10,"SoCA",D1382-VLOOKUP($D1382,Sheet1!$M$5:$T$192,8,TRUE))</f>
        <v>-0.36254887271464753</v>
      </c>
      <c r="U1382" s="109">
        <f>IF(VLOOKUP($D1382,Sheet1!$M$5:$U$192,9,TRUE)=0,"",IF(ABS(D1382-VLOOKUP($D1382,Sheet1!$M$5:$U$192,9,TRUE))&lt;10^-10,"Alt.",D1382-VLOOKUP($D1382,Sheet1!$M$5:$U$192,9,TRUE)))</f>
        <v>-0.38950916791708323</v>
      </c>
      <c r="V1382" s="132">
        <f>$D1382-Sheet1!$M$3*$R1382</f>
        <v>-0.22159368653136369</v>
      </c>
      <c r="Z1382" s="6"/>
      <c r="AA1382" s="61"/>
    </row>
    <row r="1383" spans="1:27" ht="13.5">
      <c r="A1383" s="6" t="s">
        <v>1538</v>
      </c>
      <c r="B1383" s="6">
        <f>2^17*7*13</f>
        <v>11927552</v>
      </c>
      <c r="C1383" s="6">
        <f>3^12*23</f>
        <v>12223143</v>
      </c>
      <c r="D1383" s="13">
        <f t="shared" si="28"/>
        <v>42.380789414629078</v>
      </c>
      <c r="E1383" s="61">
        <v>23</v>
      </c>
      <c r="F1383" s="65">
        <v>101.72413737135105</v>
      </c>
      <c r="G1383" s="6">
        <v>1317</v>
      </c>
      <c r="H1383" s="6">
        <v>1387</v>
      </c>
      <c r="I1383" s="65">
        <v>9.3904603941191507</v>
      </c>
      <c r="J1383" s="6">
        <f>VLOOKUP($D1383,Sheet1!$A$5:$C$192,3,TRUE)</f>
        <v>8</v>
      </c>
      <c r="K1383" s="42" t="str">
        <f>VLOOKUP($D1383,Sheet1!$A$5:$C$192,2,TRUE)</f>
        <v>//|</v>
      </c>
      <c r="L1383" s="6">
        <f>FLOOR(VLOOKUP($D1383,Sheet1!$D$5:$F$192,3,TRUE),1)</f>
        <v>18</v>
      </c>
      <c r="M1383" s="42" t="str">
        <f>VLOOKUP($D1383,Sheet1!$D$5:$F$192,2,TRUE)</f>
        <v>//|</v>
      </c>
      <c r="N1383" s="23">
        <f>FLOOR(VLOOKUP($D1383,Sheet1!$G$5:$I$192,3,TRUE),1)</f>
        <v>22</v>
      </c>
      <c r="O1383" s="42" t="str">
        <f>VLOOKUP($D1383,Sheet1!$G$5:$I$192,2,TRUE)</f>
        <v>//|</v>
      </c>
      <c r="P1383" s="23">
        <v>1</v>
      </c>
      <c r="Q1383" s="43" t="str">
        <f>VLOOKUP($D1383,Sheet1!$J$5:$L$192,2,TRUE)</f>
        <v>//|.</v>
      </c>
      <c r="R1383" s="23">
        <f>FLOOR(VLOOKUP($D1383,Sheet1!$M$5:$O$192,3,TRUE),1)</f>
        <v>87</v>
      </c>
      <c r="S1383" s="42" t="str">
        <f>VLOOKUP($D1383,Sheet1!$M$5:$O$192,2,TRUE)</f>
        <v>//|.</v>
      </c>
      <c r="T1383" s="117">
        <f>IF(ABS(D1383-VLOOKUP($D1383,Sheet1!$M$5:$T$192,8,TRUE))&lt;10^-10,"SoCA",D1383-VLOOKUP($D1383,Sheet1!$M$5:$T$192,8,TRUE))</f>
        <v>-0.20907361284578485</v>
      </c>
      <c r="U1383" s="109">
        <f>IF(VLOOKUP($D1383,Sheet1!$M$5:$U$192,9,TRUE)=0,"",IF(ABS(D1383-VLOOKUP($D1383,Sheet1!$M$5:$U$192,9,TRUE))&lt;10^-10,"Alt.",D1383-VLOOKUP($D1383,Sheet1!$M$5:$U$192,9,TRUE)))</f>
        <v>-0.23603390804822055</v>
      </c>
      <c r="V1383" s="132">
        <f>$D1383-Sheet1!$M$3*$R1383</f>
        <v>-6.8118426662501008E-2</v>
      </c>
      <c r="Z1383" s="6"/>
      <c r="AA1383" s="61"/>
    </row>
    <row r="1384" spans="1:27" ht="13.5">
      <c r="A1384" t="s">
        <v>1066</v>
      </c>
      <c r="B1384">
        <v>93184</v>
      </c>
      <c r="C1384">
        <v>95499</v>
      </c>
      <c r="D1384" s="13">
        <f t="shared" si="28"/>
        <v>42.484038798829275</v>
      </c>
      <c r="E1384" s="61" t="s">
        <v>1931</v>
      </c>
      <c r="F1384" s="65">
        <v>182.23433075682178</v>
      </c>
      <c r="G1384" s="6">
        <v>982</v>
      </c>
      <c r="H1384" s="6">
        <v>915</v>
      </c>
      <c r="I1384" s="65">
        <v>3.3841029533759581</v>
      </c>
      <c r="J1384" s="6">
        <f>VLOOKUP($D1384,Sheet1!$A$5:$C$192,3,TRUE)</f>
        <v>8</v>
      </c>
      <c r="K1384" s="42" t="str">
        <f>VLOOKUP($D1384,Sheet1!$A$5:$C$192,2,TRUE)</f>
        <v>//|</v>
      </c>
      <c r="L1384" s="6">
        <f>FLOOR(VLOOKUP($D1384,Sheet1!$D$5:$F$192,3,TRUE),1)</f>
        <v>18</v>
      </c>
      <c r="M1384" s="42" t="str">
        <f>VLOOKUP($D1384,Sheet1!$D$5:$F$192,2,TRUE)</f>
        <v>//|</v>
      </c>
      <c r="N1384" s="23">
        <f>FLOOR(VLOOKUP($D1384,Sheet1!$G$5:$I$192,3,TRUE),1)</f>
        <v>22</v>
      </c>
      <c r="O1384" s="42" t="str">
        <f>VLOOKUP($D1384,Sheet1!$G$5:$I$192,2,TRUE)</f>
        <v>//|</v>
      </c>
      <c r="P1384" s="23">
        <v>1</v>
      </c>
      <c r="Q1384" s="43" t="str">
        <f>VLOOKUP($D1384,Sheet1!$J$5:$L$192,2,TRUE)</f>
        <v>//|.</v>
      </c>
      <c r="R1384" s="23">
        <f>FLOOR(VLOOKUP($D1384,Sheet1!$M$5:$O$192,3,TRUE),1)</f>
        <v>87</v>
      </c>
      <c r="S1384" s="42" t="str">
        <f>VLOOKUP($D1384,Sheet1!$M$5:$O$192,2,TRUE)</f>
        <v>//|.</v>
      </c>
      <c r="T1384" s="117">
        <f>IF(ABS(D1384-VLOOKUP($D1384,Sheet1!$M$5:$T$192,8,TRUE))&lt;10^-10,"SoCA",D1384-VLOOKUP($D1384,Sheet1!$M$5:$T$192,8,TRUE))</f>
        <v>-0.10582422864558794</v>
      </c>
      <c r="U1384" s="109">
        <f>IF(VLOOKUP($D1384,Sheet1!$M$5:$U$192,9,TRUE)=0,"",IF(ABS(D1384-VLOOKUP($D1384,Sheet1!$M$5:$U$192,9,TRUE))&lt;10^-10,"Alt.",D1384-VLOOKUP($D1384,Sheet1!$M$5:$U$192,9,TRUE)))</f>
        <v>-0.13278452384802364</v>
      </c>
      <c r="V1384" s="132">
        <f>$D1384-Sheet1!$M$3*$R1384</f>
        <v>3.5130957537695906E-2</v>
      </c>
      <c r="Z1384" s="6"/>
      <c r="AA1384" s="61"/>
    </row>
    <row r="1385" spans="1:27" ht="13.5">
      <c r="A1385" s="80" t="s">
        <v>170</v>
      </c>
      <c r="B1385" s="80">
        <f>2^8*5^2</f>
        <v>6400</v>
      </c>
      <c r="C1385" s="80">
        <f>3^8</f>
        <v>6561</v>
      </c>
      <c r="D1385" s="51">
        <f t="shared" si="28"/>
        <v>43.012579193429687</v>
      </c>
      <c r="E1385" s="61">
        <v>5</v>
      </c>
      <c r="F1385" s="65">
        <v>16.037337383172488</v>
      </c>
      <c r="G1385" s="6">
        <v>8</v>
      </c>
      <c r="H1385" s="6">
        <v>8</v>
      </c>
      <c r="I1385" s="65">
        <v>5.3515587957029167</v>
      </c>
      <c r="J1385" s="81">
        <f>VLOOKUP($D1385,Sheet1!$A$5:$C$192,3,TRUE)</f>
        <v>8</v>
      </c>
      <c r="K1385" s="82" t="str">
        <f>VLOOKUP($D1385,Sheet1!$A$5:$C$192,2,TRUE)</f>
        <v>//|</v>
      </c>
      <c r="L1385" s="81">
        <f>FLOOR(VLOOKUP($D1385,Sheet1!$D$5:$F$192,3,TRUE),1)</f>
        <v>18</v>
      </c>
      <c r="M1385" s="82" t="str">
        <f>VLOOKUP($D1385,Sheet1!$D$5:$F$192,2,TRUE)</f>
        <v>//|</v>
      </c>
      <c r="N1385" s="81">
        <f>FLOOR(VLOOKUP($D1385,Sheet1!$G$5:$I$192,3,TRUE),1)</f>
        <v>22</v>
      </c>
      <c r="O1385" s="82" t="str">
        <f>VLOOKUP($D1385,Sheet1!$G$5:$I$192,2,TRUE)</f>
        <v>//|</v>
      </c>
      <c r="P1385" s="81">
        <v>1</v>
      </c>
      <c r="Q1385" s="82" t="str">
        <f>VLOOKUP($D1385,Sheet1!$J$5:$L$192,2,TRUE)</f>
        <v>//|</v>
      </c>
      <c r="R1385" s="81">
        <f>FLOOR(VLOOKUP($D1385,Sheet1!$M$5:$O$192,3,TRUE),1)</f>
        <v>88</v>
      </c>
      <c r="S1385" s="82" t="str">
        <f>VLOOKUP($D1385,Sheet1!$M$5:$O$192,2,TRUE)</f>
        <v>//|</v>
      </c>
      <c r="T1385" s="111" t="str">
        <f>IF(ABS(D1385-VLOOKUP($D1385,Sheet1!$M$5:$T$192,8,TRUE))&lt;10^-10,"SoCA",D1385-VLOOKUP($D1385,Sheet1!$M$5:$T$192,8,TRUE))</f>
        <v>SoCA</v>
      </c>
      <c r="U1385" s="110" t="str">
        <f>IF(VLOOKUP($D1385,Sheet1!$M$5:$U$192,9,TRUE)=0,"",IF(ABS(D1385-VLOOKUP($D1385,Sheet1!$M$5:$U$192,9,TRUE))&lt;10^-10,"Alt.",D1385-VLOOKUP($D1385,Sheet1!$M$5:$U$192,9,TRUE)))</f>
        <v/>
      </c>
      <c r="V1385" s="135">
        <f>$D1385-Sheet1!$M$3*$R1385</f>
        <v>7.5752871203725647E-2</v>
      </c>
      <c r="Z1385" s="6"/>
      <c r="AA1385" s="61"/>
    </row>
    <row r="1386" spans="1:27" ht="13.5">
      <c r="A1386" s="23" t="s">
        <v>340</v>
      </c>
      <c r="B1386" s="23">
        <f>2^5*11^2</f>
        <v>3872</v>
      </c>
      <c r="C1386" s="23">
        <f>3^4*7^2</f>
        <v>3969</v>
      </c>
      <c r="D1386" s="13">
        <f t="shared" si="28"/>
        <v>42.835931670286058</v>
      </c>
      <c r="E1386" s="61">
        <v>11</v>
      </c>
      <c r="F1386" s="65">
        <v>36.18659415438556</v>
      </c>
      <c r="G1386" s="6">
        <v>191</v>
      </c>
      <c r="H1386" s="6">
        <v>174</v>
      </c>
      <c r="I1386" s="65">
        <v>1.3624356272648352</v>
      </c>
      <c r="J1386" s="6">
        <f>VLOOKUP($D1386,Sheet1!$A$5:$C$192,3,TRUE)</f>
        <v>8</v>
      </c>
      <c r="K1386" s="42" t="str">
        <f>VLOOKUP($D1386,Sheet1!$A$5:$C$192,2,TRUE)</f>
        <v>//|</v>
      </c>
      <c r="L1386" s="6">
        <f>FLOOR(VLOOKUP($D1386,Sheet1!$D$5:$F$192,3,TRUE),1)</f>
        <v>18</v>
      </c>
      <c r="M1386" s="42" t="str">
        <f>VLOOKUP($D1386,Sheet1!$D$5:$F$192,2,TRUE)</f>
        <v>//|</v>
      </c>
      <c r="N1386" s="23">
        <f>FLOOR(VLOOKUP($D1386,Sheet1!$G$5:$I$192,3,TRUE),1)</f>
        <v>22</v>
      </c>
      <c r="O1386" s="42" t="str">
        <f>VLOOKUP($D1386,Sheet1!$G$5:$I$192,2,TRUE)</f>
        <v>//|</v>
      </c>
      <c r="P1386" s="23">
        <v>1</v>
      </c>
      <c r="Q1386" s="43" t="str">
        <f>VLOOKUP($D1386,Sheet1!$J$5:$L$192,2,TRUE)</f>
        <v>//|</v>
      </c>
      <c r="R1386" s="23">
        <f>FLOOR(VLOOKUP($D1386,Sheet1!$M$5:$O$192,3,TRUE),1)</f>
        <v>88</v>
      </c>
      <c r="S1386" s="43" t="str">
        <f>VLOOKUP($D1386,Sheet1!$M$5:$O$192,2,TRUE)</f>
        <v>//|</v>
      </c>
      <c r="T1386" s="117">
        <f>IF(ABS(D1386-VLOOKUP($D1386,Sheet1!$M$5:$T$192,8,TRUE))&lt;10^-10,"SoCA",D1386-VLOOKUP($D1386,Sheet1!$M$5:$T$192,8,TRUE))</f>
        <v>-0.17664752314362886</v>
      </c>
      <c r="U1386" s="117" t="str">
        <f>IF(VLOOKUP($D1386,Sheet1!$M$5:$U$192,9,TRUE)=0,"",IF(ABS(D1386-VLOOKUP($D1386,Sheet1!$M$5:$U$192,9,TRUE))&lt;10^-10,"Alt.",D1386-VLOOKUP($D1386,Sheet1!$M$5:$U$192,9,TRUE)))</f>
        <v/>
      </c>
      <c r="V1386" s="132">
        <f>$D1386-Sheet1!$M$3*$R1386</f>
        <v>-0.10089465193990321</v>
      </c>
      <c r="Z1386" s="6"/>
      <c r="AA1386" s="61"/>
    </row>
    <row r="1387" spans="1:27" ht="13.5">
      <c r="A1387" s="14" t="s">
        <v>275</v>
      </c>
      <c r="B1387" s="14">
        <f>3^3*37</f>
        <v>999</v>
      </c>
      <c r="C1387" s="14">
        <f>2^10</f>
        <v>1024</v>
      </c>
      <c r="D1387" s="13">
        <f t="shared" si="28"/>
        <v>42.790958649097995</v>
      </c>
      <c r="E1387" s="61">
        <v>37</v>
      </c>
      <c r="F1387" s="65">
        <v>44.983749006523503</v>
      </c>
      <c r="G1387" s="6">
        <v>88</v>
      </c>
      <c r="H1387" s="6">
        <v>86</v>
      </c>
      <c r="I1387" s="65">
        <v>-5.6347952199749791</v>
      </c>
      <c r="J1387" s="6">
        <f>VLOOKUP($D1387,Sheet1!$A$5:$C$192,3,TRUE)</f>
        <v>8</v>
      </c>
      <c r="K1387" s="42" t="str">
        <f>VLOOKUP($D1387,Sheet1!$A$5:$C$192,2,TRUE)</f>
        <v>//|</v>
      </c>
      <c r="L1387" s="6">
        <f>FLOOR(VLOOKUP($D1387,Sheet1!$D$5:$F$192,3,TRUE),1)</f>
        <v>18</v>
      </c>
      <c r="M1387" s="42" t="str">
        <f>VLOOKUP($D1387,Sheet1!$D$5:$F$192,2,TRUE)</f>
        <v>//|</v>
      </c>
      <c r="N1387" s="23">
        <f>FLOOR(VLOOKUP($D1387,Sheet1!$G$5:$I$192,3,TRUE),1)</f>
        <v>22</v>
      </c>
      <c r="O1387" s="42" t="str">
        <f>VLOOKUP($D1387,Sheet1!$G$5:$I$192,2,TRUE)</f>
        <v>//|</v>
      </c>
      <c r="P1387" s="23">
        <v>1</v>
      </c>
      <c r="Q1387" s="43" t="str">
        <f>VLOOKUP($D1387,Sheet1!$J$5:$L$192,2,TRUE)</f>
        <v>//|</v>
      </c>
      <c r="R1387" s="23">
        <f>FLOOR(VLOOKUP($D1387,Sheet1!$M$5:$O$192,3,TRUE),1)</f>
        <v>88</v>
      </c>
      <c r="S1387" s="42" t="str">
        <f>VLOOKUP($D1387,Sheet1!$M$5:$O$192,2,TRUE)</f>
        <v>//|</v>
      </c>
      <c r="T1387" s="117">
        <f>IF(ABS(D1387-VLOOKUP($D1387,Sheet1!$M$5:$T$192,8,TRUE))&lt;10^-10,"SoCA",D1387-VLOOKUP($D1387,Sheet1!$M$5:$T$192,8,TRUE))</f>
        <v>-0.22162054433169232</v>
      </c>
      <c r="U1387" s="109" t="str">
        <f>IF(VLOOKUP($D1387,Sheet1!$M$5:$U$192,9,TRUE)=0,"",IF(ABS(D1387-VLOOKUP($D1387,Sheet1!$M$5:$U$192,9,TRUE))&lt;10^-10,"Alt.",D1387-VLOOKUP($D1387,Sheet1!$M$5:$U$192,9,TRUE)))</f>
        <v/>
      </c>
      <c r="V1387" s="132">
        <f>$D1387-Sheet1!$M$3*$R1387</f>
        <v>-0.14586767312796667</v>
      </c>
      <c r="Z1387" s="6"/>
      <c r="AA1387" s="61"/>
    </row>
    <row r="1388" spans="1:27" ht="13.5">
      <c r="A1388" s="6" t="s">
        <v>400</v>
      </c>
      <c r="B1388" s="6">
        <f>2^3*5</f>
        <v>40</v>
      </c>
      <c r="C1388" s="6">
        <v>41</v>
      </c>
      <c r="D1388" s="13">
        <f t="shared" si="28"/>
        <v>42.748691676865462</v>
      </c>
      <c r="E1388" s="61">
        <v>41</v>
      </c>
      <c r="F1388" s="65">
        <v>46.076984568119556</v>
      </c>
      <c r="G1388" s="6">
        <v>258</v>
      </c>
      <c r="H1388" s="6">
        <v>237</v>
      </c>
      <c r="I1388" s="65">
        <v>-2.6321926885076588</v>
      </c>
      <c r="J1388" s="6">
        <f>VLOOKUP($D1388,Sheet1!$A$5:$C$192,3,TRUE)</f>
        <v>8</v>
      </c>
      <c r="K1388" s="42" t="str">
        <f>VLOOKUP($D1388,Sheet1!$A$5:$C$192,2,TRUE)</f>
        <v>//|</v>
      </c>
      <c r="L1388" s="6">
        <f>FLOOR(VLOOKUP($D1388,Sheet1!$D$5:$F$192,3,TRUE),1)</f>
        <v>18</v>
      </c>
      <c r="M1388" s="42" t="str">
        <f>VLOOKUP($D1388,Sheet1!$D$5:$F$192,2,TRUE)</f>
        <v>//|</v>
      </c>
      <c r="N1388" s="23">
        <f>FLOOR(VLOOKUP($D1388,Sheet1!$G$5:$I$192,3,TRUE),1)</f>
        <v>22</v>
      </c>
      <c r="O1388" s="42" t="str">
        <f>VLOOKUP($D1388,Sheet1!$G$5:$I$192,2,TRUE)</f>
        <v>//|</v>
      </c>
      <c r="P1388" s="23">
        <v>1</v>
      </c>
      <c r="Q1388" s="43" t="str">
        <f>VLOOKUP($D1388,Sheet1!$J$5:$L$192,2,TRUE)</f>
        <v>//|</v>
      </c>
      <c r="R1388" s="23">
        <f>FLOOR(VLOOKUP($D1388,Sheet1!$M$5:$O$192,3,TRUE),1)</f>
        <v>88</v>
      </c>
      <c r="S1388" s="42" t="str">
        <f>VLOOKUP($D1388,Sheet1!$M$5:$O$192,2,TRUE)</f>
        <v>//|</v>
      </c>
      <c r="T1388" s="117">
        <f>IF(ABS(D1388-VLOOKUP($D1388,Sheet1!$M$5:$T$192,8,TRUE))&lt;10^-10,"SoCA",D1388-VLOOKUP($D1388,Sheet1!$M$5:$T$192,8,TRUE))</f>
        <v>-0.26388751656422471</v>
      </c>
      <c r="U1388" s="109" t="str">
        <f>IF(VLOOKUP($D1388,Sheet1!$M$5:$U$192,9,TRUE)=0,"",IF(ABS(D1388-VLOOKUP($D1388,Sheet1!$M$5:$U$192,9,TRUE))&lt;10^-10,"Alt.",D1388-VLOOKUP($D1388,Sheet1!$M$5:$U$192,9,TRUE)))</f>
        <v/>
      </c>
      <c r="V1388" s="132">
        <f>$D1388-Sheet1!$M$3*$R1388</f>
        <v>-0.18813464536049906</v>
      </c>
      <c r="Z1388" s="6"/>
      <c r="AA1388" s="61"/>
    </row>
    <row r="1389" spans="1:27" ht="13.5">
      <c r="A1389" t="s">
        <v>1691</v>
      </c>
      <c r="B1389">
        <v>207765</v>
      </c>
      <c r="C1389">
        <v>212992</v>
      </c>
      <c r="D1389" s="13">
        <f t="shared" si="28"/>
        <v>43.01592571446141</v>
      </c>
      <c r="E1389" s="61">
        <v>19</v>
      </c>
      <c r="F1389" s="65">
        <v>53.81759751475937</v>
      </c>
      <c r="G1389" s="6">
        <v>1607</v>
      </c>
      <c r="H1389" s="6">
        <v>1540</v>
      </c>
      <c r="I1389" s="65">
        <v>-9.6486472617890477</v>
      </c>
      <c r="J1389" s="6">
        <f>VLOOKUP($D1389,Sheet1!$A$5:$C$192,3,TRUE)</f>
        <v>8</v>
      </c>
      <c r="K1389" s="42" t="str">
        <f>VLOOKUP($D1389,Sheet1!$A$5:$C$192,2,TRUE)</f>
        <v>//|</v>
      </c>
      <c r="L1389" s="6">
        <f>FLOOR(VLOOKUP($D1389,Sheet1!$D$5:$F$192,3,TRUE),1)</f>
        <v>18</v>
      </c>
      <c r="M1389" s="42" t="str">
        <f>VLOOKUP($D1389,Sheet1!$D$5:$F$192,2,TRUE)</f>
        <v>//|</v>
      </c>
      <c r="N1389" s="23">
        <f>FLOOR(VLOOKUP($D1389,Sheet1!$G$5:$I$192,3,TRUE),1)</f>
        <v>22</v>
      </c>
      <c r="O1389" s="42" t="str">
        <f>VLOOKUP($D1389,Sheet1!$G$5:$I$192,2,TRUE)</f>
        <v>//|</v>
      </c>
      <c r="P1389" s="23">
        <v>1</v>
      </c>
      <c r="Q1389" s="43" t="str">
        <f>VLOOKUP($D1389,Sheet1!$J$5:$L$192,2,TRUE)</f>
        <v>//|</v>
      </c>
      <c r="R1389" s="23">
        <f>FLOOR(VLOOKUP($D1389,Sheet1!$M$5:$O$192,3,TRUE),1)</f>
        <v>88</v>
      </c>
      <c r="S1389" s="42" t="str">
        <f>VLOOKUP($D1389,Sheet1!$M$5:$O$192,2,TRUE)</f>
        <v>//|</v>
      </c>
      <c r="T1389" s="117">
        <f>IF(ABS(D1389-VLOOKUP($D1389,Sheet1!$M$5:$T$192,8,TRUE))&lt;10^-10,"SoCA",D1389-VLOOKUP($D1389,Sheet1!$M$5:$T$192,8,TRUE))</f>
        <v>3.3465210317231708E-3</v>
      </c>
      <c r="U1389" s="109" t="str">
        <f>IF(VLOOKUP($D1389,Sheet1!$M$5:$U$192,9,TRUE)=0,"",IF(ABS(D1389-VLOOKUP($D1389,Sheet1!$M$5:$U$192,9,TRUE))&lt;10^-10,"Alt.",D1389-VLOOKUP($D1389,Sheet1!$M$5:$U$192,9,TRUE)))</f>
        <v/>
      </c>
      <c r="V1389" s="132">
        <f>$D1389-Sheet1!$M$3*$R1389</f>
        <v>7.9099392235448818E-2</v>
      </c>
      <c r="Z1389" s="6"/>
      <c r="AA1389" s="61"/>
    </row>
    <row r="1390" spans="1:27" ht="13.5">
      <c r="A1390" t="s">
        <v>883</v>
      </c>
      <c r="B1390">
        <v>2356</v>
      </c>
      <c r="C1390">
        <v>2415</v>
      </c>
      <c r="D1390" s="13">
        <f t="shared" si="28"/>
        <v>42.820379871209653</v>
      </c>
      <c r="E1390" s="61">
        <v>31</v>
      </c>
      <c r="F1390" s="65">
        <v>102.06302594020197</v>
      </c>
      <c r="G1390" s="6">
        <v>793</v>
      </c>
      <c r="H1390" s="6">
        <v>730</v>
      </c>
      <c r="I1390" s="65">
        <v>-1.636606791807742</v>
      </c>
      <c r="J1390" s="6">
        <f>VLOOKUP($D1390,Sheet1!$A$5:$C$192,3,TRUE)</f>
        <v>8</v>
      </c>
      <c r="K1390" s="42" t="str">
        <f>VLOOKUP($D1390,Sheet1!$A$5:$C$192,2,TRUE)</f>
        <v>//|</v>
      </c>
      <c r="L1390" s="6">
        <f>FLOOR(VLOOKUP($D1390,Sheet1!$D$5:$F$192,3,TRUE),1)</f>
        <v>18</v>
      </c>
      <c r="M1390" s="42" t="str">
        <f>VLOOKUP($D1390,Sheet1!$D$5:$F$192,2,TRUE)</f>
        <v>//|</v>
      </c>
      <c r="N1390" s="23">
        <f>FLOOR(VLOOKUP($D1390,Sheet1!$G$5:$I$192,3,TRUE),1)</f>
        <v>22</v>
      </c>
      <c r="O1390" s="42" t="str">
        <f>VLOOKUP($D1390,Sheet1!$G$5:$I$192,2,TRUE)</f>
        <v>//|</v>
      </c>
      <c r="P1390" s="23">
        <v>1</v>
      </c>
      <c r="Q1390" s="43" t="str">
        <f>VLOOKUP($D1390,Sheet1!$J$5:$L$192,2,TRUE)</f>
        <v>//|</v>
      </c>
      <c r="R1390" s="23">
        <f>FLOOR(VLOOKUP($D1390,Sheet1!$M$5:$O$192,3,TRUE),1)</f>
        <v>88</v>
      </c>
      <c r="S1390" s="42" t="str">
        <f>VLOOKUP($D1390,Sheet1!$M$5:$O$192,2,TRUE)</f>
        <v>//|</v>
      </c>
      <c r="T1390" s="117">
        <f>IF(ABS(D1390-VLOOKUP($D1390,Sheet1!$M$5:$T$192,8,TRUE))&lt;10^-10,"SoCA",D1390-VLOOKUP($D1390,Sheet1!$M$5:$T$192,8,TRUE))</f>
        <v>-0.19219932222003422</v>
      </c>
      <c r="U1390" s="109" t="str">
        <f>IF(VLOOKUP($D1390,Sheet1!$M$5:$U$192,9,TRUE)=0,"",IF(ABS(D1390-VLOOKUP($D1390,Sheet1!$M$5:$U$192,9,TRUE))&lt;10^-10,"Alt.",D1390-VLOOKUP($D1390,Sheet1!$M$5:$U$192,9,TRUE)))</f>
        <v/>
      </c>
      <c r="V1390" s="132">
        <f>$D1390-Sheet1!$M$3*$R1390</f>
        <v>-0.11644645101630857</v>
      </c>
      <c r="Z1390" s="6"/>
      <c r="AA1390" s="61"/>
    </row>
    <row r="1391" spans="1:27" ht="13.5">
      <c r="A1391" t="s">
        <v>1482</v>
      </c>
      <c r="B1391">
        <v>62208</v>
      </c>
      <c r="C1391">
        <v>63767</v>
      </c>
      <c r="D1391" s="13">
        <f t="shared" si="28"/>
        <v>42.851862367233927</v>
      </c>
      <c r="E1391" s="61">
        <v>31</v>
      </c>
      <c r="F1391" s="65">
        <v>128.73187291348162</v>
      </c>
      <c r="G1391" s="6">
        <v>1392</v>
      </c>
      <c r="H1391" s="6">
        <v>1331</v>
      </c>
      <c r="I1391" s="65">
        <v>-7.6385452837849339</v>
      </c>
      <c r="J1391" s="6">
        <f>VLOOKUP($D1391,Sheet1!$A$5:$C$192,3,TRUE)</f>
        <v>8</v>
      </c>
      <c r="K1391" s="42" t="str">
        <f>VLOOKUP($D1391,Sheet1!$A$5:$C$192,2,TRUE)</f>
        <v>//|</v>
      </c>
      <c r="L1391" s="6">
        <f>FLOOR(VLOOKUP($D1391,Sheet1!$D$5:$F$192,3,TRUE),1)</f>
        <v>18</v>
      </c>
      <c r="M1391" s="42" t="str">
        <f>VLOOKUP($D1391,Sheet1!$D$5:$F$192,2,TRUE)</f>
        <v>//|</v>
      </c>
      <c r="N1391" s="23">
        <f>FLOOR(VLOOKUP($D1391,Sheet1!$G$5:$I$192,3,TRUE),1)</f>
        <v>22</v>
      </c>
      <c r="O1391" s="42" t="str">
        <f>VLOOKUP($D1391,Sheet1!$G$5:$I$192,2,TRUE)</f>
        <v>//|</v>
      </c>
      <c r="P1391" s="23">
        <v>1</v>
      </c>
      <c r="Q1391" s="43" t="str">
        <f>VLOOKUP($D1391,Sheet1!$J$5:$L$192,2,TRUE)</f>
        <v>//|</v>
      </c>
      <c r="R1391" s="23">
        <f>FLOOR(VLOOKUP($D1391,Sheet1!$M$5:$O$192,3,TRUE),1)</f>
        <v>88</v>
      </c>
      <c r="S1391" s="42" t="str">
        <f>VLOOKUP($D1391,Sheet1!$M$5:$O$192,2,TRUE)</f>
        <v>//|</v>
      </c>
      <c r="T1391" s="117">
        <f>IF(ABS(D1391-VLOOKUP($D1391,Sheet1!$M$5:$T$192,8,TRUE))&lt;10^-10,"SoCA",D1391-VLOOKUP($D1391,Sheet1!$M$5:$T$192,8,TRUE))</f>
        <v>-0.16071682619575967</v>
      </c>
      <c r="U1391" s="109" t="str">
        <f>IF(VLOOKUP($D1391,Sheet1!$M$5:$U$192,9,TRUE)=0,"",IF(ABS(D1391-VLOOKUP($D1391,Sheet1!$M$5:$U$192,9,TRUE))&lt;10^-10,"Alt.",D1391-VLOOKUP($D1391,Sheet1!$M$5:$U$192,9,TRUE)))</f>
        <v/>
      </c>
      <c r="V1391" s="132">
        <f>$D1391-Sheet1!$M$3*$R1391</f>
        <v>-8.4963954992034019E-2</v>
      </c>
      <c r="Z1391" s="6"/>
      <c r="AA1391" s="61"/>
    </row>
    <row r="1392" spans="1:27" ht="13.5">
      <c r="A1392" t="s">
        <v>1662</v>
      </c>
      <c r="B1392">
        <v>46137344</v>
      </c>
      <c r="C1392">
        <v>47298249</v>
      </c>
      <c r="D1392" s="13">
        <f t="shared" si="28"/>
        <v>43.022185179569682</v>
      </c>
      <c r="E1392" s="61" t="s">
        <v>1931</v>
      </c>
      <c r="F1392" s="65">
        <v>160.6677034699978</v>
      </c>
      <c r="G1392" s="6">
        <v>1572</v>
      </c>
      <c r="H1392" s="6">
        <v>1511</v>
      </c>
      <c r="I1392" s="65">
        <v>9.3509673201397643</v>
      </c>
      <c r="J1392" s="6">
        <f>VLOOKUP($D1392,Sheet1!$A$5:$C$192,3,TRUE)</f>
        <v>8</v>
      </c>
      <c r="K1392" s="42" t="str">
        <f>VLOOKUP($D1392,Sheet1!$A$5:$C$192,2,TRUE)</f>
        <v>//|</v>
      </c>
      <c r="L1392" s="6">
        <f>FLOOR(VLOOKUP($D1392,Sheet1!$D$5:$F$192,3,TRUE),1)</f>
        <v>18</v>
      </c>
      <c r="M1392" s="42" t="str">
        <f>VLOOKUP($D1392,Sheet1!$D$5:$F$192,2,TRUE)</f>
        <v>//|</v>
      </c>
      <c r="N1392" s="23">
        <f>FLOOR(VLOOKUP($D1392,Sheet1!$G$5:$I$192,3,TRUE),1)</f>
        <v>22</v>
      </c>
      <c r="O1392" s="42" t="str">
        <f>VLOOKUP($D1392,Sheet1!$G$5:$I$192,2,TRUE)</f>
        <v>//|</v>
      </c>
      <c r="P1392" s="23">
        <v>1</v>
      </c>
      <c r="Q1392" s="43" t="str">
        <f>VLOOKUP($D1392,Sheet1!$J$5:$L$192,2,TRUE)</f>
        <v>//|</v>
      </c>
      <c r="R1392" s="23">
        <f>FLOOR(VLOOKUP($D1392,Sheet1!$M$5:$O$192,3,TRUE),1)</f>
        <v>88</v>
      </c>
      <c r="S1392" s="42" t="str">
        <f>VLOOKUP($D1392,Sheet1!$M$5:$O$192,2,TRUE)</f>
        <v>//|</v>
      </c>
      <c r="T1392" s="117">
        <f>IF(ABS(D1392-VLOOKUP($D1392,Sheet1!$M$5:$T$192,8,TRUE))&lt;10^-10,"SoCA",D1392-VLOOKUP($D1392,Sheet1!$M$5:$T$192,8,TRUE))</f>
        <v>9.6059861399950819E-3</v>
      </c>
      <c r="U1392" s="109" t="str">
        <f>IF(VLOOKUP($D1392,Sheet1!$M$5:$U$192,9,TRUE)=0,"",IF(ABS(D1392-VLOOKUP($D1392,Sheet1!$M$5:$U$192,9,TRUE))&lt;10^-10,"Alt.",D1392-VLOOKUP($D1392,Sheet1!$M$5:$U$192,9,TRUE)))</f>
        <v/>
      </c>
      <c r="V1392" s="132">
        <f>$D1392-Sheet1!$M$3*$R1392</f>
        <v>8.5358857343720729E-2</v>
      </c>
      <c r="Z1392" s="6"/>
      <c r="AA1392" s="61"/>
    </row>
    <row r="1393" spans="1:27" ht="13.5">
      <c r="A1393" t="s">
        <v>1063</v>
      </c>
      <c r="B1393">
        <v>67108864</v>
      </c>
      <c r="C1393">
        <v>68786253</v>
      </c>
      <c r="D1393" s="13">
        <f t="shared" si="28"/>
        <v>42.740320715699433</v>
      </c>
      <c r="E1393" s="61" t="s">
        <v>1931</v>
      </c>
      <c r="F1393" s="65">
        <v>113230.75169171391</v>
      </c>
      <c r="G1393" s="6">
        <v>980</v>
      </c>
      <c r="H1393" s="6">
        <v>912</v>
      </c>
      <c r="I1393" s="65">
        <v>3.3683227420684059</v>
      </c>
      <c r="J1393" s="6">
        <f>VLOOKUP($D1393,Sheet1!$A$5:$C$192,3,TRUE)</f>
        <v>8</v>
      </c>
      <c r="K1393" s="42" t="str">
        <f>VLOOKUP($D1393,Sheet1!$A$5:$C$192,2,TRUE)</f>
        <v>//|</v>
      </c>
      <c r="L1393" s="6">
        <f>FLOOR(VLOOKUP($D1393,Sheet1!$D$5:$F$192,3,TRUE),1)</f>
        <v>18</v>
      </c>
      <c r="M1393" s="42" t="str">
        <f>VLOOKUP($D1393,Sheet1!$D$5:$F$192,2,TRUE)</f>
        <v>//|</v>
      </c>
      <c r="N1393" s="23">
        <f>FLOOR(VLOOKUP($D1393,Sheet1!$G$5:$I$192,3,TRUE),1)</f>
        <v>22</v>
      </c>
      <c r="O1393" s="42" t="str">
        <f>VLOOKUP($D1393,Sheet1!$G$5:$I$192,2,TRUE)</f>
        <v>//|</v>
      </c>
      <c r="P1393" s="23">
        <v>1</v>
      </c>
      <c r="Q1393" s="43" t="str">
        <f>VLOOKUP($D1393,Sheet1!$J$5:$L$192,2,TRUE)</f>
        <v>//|</v>
      </c>
      <c r="R1393" s="23">
        <f>FLOOR(VLOOKUP($D1393,Sheet1!$M$5:$O$192,3,TRUE),1)</f>
        <v>88</v>
      </c>
      <c r="S1393" s="42" t="str">
        <f>VLOOKUP($D1393,Sheet1!$M$5:$O$192,2,TRUE)</f>
        <v>//|</v>
      </c>
      <c r="T1393" s="117">
        <f>IF(ABS(D1393-VLOOKUP($D1393,Sheet1!$M$5:$T$192,8,TRUE))&lt;10^-10,"SoCA",D1393-VLOOKUP($D1393,Sheet1!$M$5:$T$192,8,TRUE))</f>
        <v>-0.27225847773025436</v>
      </c>
      <c r="U1393" s="109" t="str">
        <f>IF(VLOOKUP($D1393,Sheet1!$M$5:$U$192,9,TRUE)=0,"",IF(ABS(D1393-VLOOKUP($D1393,Sheet1!$M$5:$U$192,9,TRUE))&lt;10^-10,"Alt.",D1393-VLOOKUP($D1393,Sheet1!$M$5:$U$192,9,TRUE)))</f>
        <v/>
      </c>
      <c r="V1393" s="132">
        <f>$D1393-Sheet1!$M$3*$R1393</f>
        <v>-0.19650560652652871</v>
      </c>
      <c r="Z1393" s="6"/>
      <c r="AA1393" s="61"/>
    </row>
    <row r="1394" spans="1:27" ht="13.5">
      <c r="A1394" s="36" t="s">
        <v>172</v>
      </c>
      <c r="B1394" s="36">
        <f>2^9</f>
        <v>512</v>
      </c>
      <c r="C1394" s="36">
        <f>3*5^2*7</f>
        <v>525</v>
      </c>
      <c r="D1394" s="51">
        <f t="shared" si="28"/>
        <v>43.408335064181976</v>
      </c>
      <c r="E1394" s="61">
        <v>7</v>
      </c>
      <c r="F1394" s="65">
        <v>27.242196529743147</v>
      </c>
      <c r="G1394" s="6">
        <v>27</v>
      </c>
      <c r="H1394" s="6">
        <v>22</v>
      </c>
      <c r="I1394" s="65">
        <v>-1.6728093350764377</v>
      </c>
      <c r="J1394" s="23">
        <f>VLOOKUP($D1394,Sheet1!$A$5:$C$192,3,TRUE)</f>
        <v>8</v>
      </c>
      <c r="K1394" s="43" t="str">
        <f>VLOOKUP($D1394,Sheet1!$A$5:$C$192,2,TRUE)</f>
        <v>//|</v>
      </c>
      <c r="L1394" s="6">
        <f>FLOOR(VLOOKUP($D1394,Sheet1!$D$5:$F$192,3,TRUE),1)</f>
        <v>18</v>
      </c>
      <c r="M1394" s="42" t="str">
        <f>VLOOKUP($D1394,Sheet1!$D$5:$F$192,2,TRUE)</f>
        <v>//|</v>
      </c>
      <c r="N1394" s="23">
        <f>FLOOR(VLOOKUP($D1394,Sheet1!$G$5:$I$192,3,TRUE),1)</f>
        <v>22</v>
      </c>
      <c r="O1394" s="43" t="str">
        <f>VLOOKUP($D1394,Sheet1!$G$5:$I$192,2,TRUE)</f>
        <v>//|</v>
      </c>
      <c r="P1394" s="23">
        <v>1</v>
      </c>
      <c r="Q1394" s="45" t="str">
        <f>VLOOKUP($D1394,Sheet1!$J$5:$L$192,2,TRUE)</f>
        <v>//|'</v>
      </c>
      <c r="R1394" s="38">
        <f>FLOOR(VLOOKUP($D1394,Sheet1!$M$5:$O$192,3,TRUE),1)</f>
        <v>89</v>
      </c>
      <c r="S1394" s="45" t="str">
        <f>VLOOKUP($D1394,Sheet1!$M$5:$O$192,2,TRUE)</f>
        <v>//|'</v>
      </c>
      <c r="T1394" s="108">
        <f>IF(ABS(D1394-VLOOKUP($D1394,Sheet1!$M$5:$T$192,8,TRUE))&lt;10^-10,"SoCA",D1394-VLOOKUP($D1394,Sheet1!$M$5:$T$192,8,TRUE))</f>
        <v>-2.6960295202535178E-2</v>
      </c>
      <c r="U1394" s="112" t="str">
        <f>IF(VLOOKUP($D1394,Sheet1!$M$5:$U$192,9,TRUE)=0,"",IF(ABS(D1394-VLOOKUP($D1394,Sheet1!$M$5:$U$192,9,TRUE))&lt;10^-10,"Alt.",D1394-VLOOKUP($D1394,Sheet1!$M$5:$U$192,9,TRUE)))</f>
        <v>Alt.</v>
      </c>
      <c r="V1394" s="133">
        <f>$D1394-Sheet1!$M$3*$R1394</f>
        <v>-1.6409738978374833E-2</v>
      </c>
      <c r="Z1394" s="6"/>
      <c r="AA1394" s="61"/>
    </row>
    <row r="1395" spans="1:27" ht="13.5">
      <c r="A1395" s="23" t="s">
        <v>394</v>
      </c>
      <c r="B1395" s="23">
        <f>2^12*7</f>
        <v>28672</v>
      </c>
      <c r="C1395" s="23">
        <f>3^5*11^2</f>
        <v>29403</v>
      </c>
      <c r="D1395" s="13">
        <f t="shared" si="28"/>
        <v>43.584982587325634</v>
      </c>
      <c r="E1395" s="61">
        <v>11</v>
      </c>
      <c r="F1395" s="65">
        <v>35.150765952009522</v>
      </c>
      <c r="G1395" s="6">
        <v>252</v>
      </c>
      <c r="H1395" s="6">
        <v>231</v>
      </c>
      <c r="I1395" s="65">
        <v>2.316313833361642</v>
      </c>
      <c r="J1395" s="6">
        <f>VLOOKUP($D1395,Sheet1!$A$5:$C$192,3,TRUE)</f>
        <v>8</v>
      </c>
      <c r="K1395" s="42" t="str">
        <f>VLOOKUP($D1395,Sheet1!$A$5:$C$192,2,TRUE)</f>
        <v>//|</v>
      </c>
      <c r="L1395" s="6">
        <f>FLOOR(VLOOKUP($D1395,Sheet1!$D$5:$F$192,3,TRUE),1)</f>
        <v>18</v>
      </c>
      <c r="M1395" s="42" t="str">
        <f>VLOOKUP($D1395,Sheet1!$D$5:$F$192,2,TRUE)</f>
        <v>//|</v>
      </c>
      <c r="N1395" s="23">
        <f>FLOOR(VLOOKUP($D1395,Sheet1!$G$5:$I$192,3,TRUE),1)</f>
        <v>22</v>
      </c>
      <c r="O1395" s="42" t="str">
        <f>VLOOKUP($D1395,Sheet1!$G$5:$I$192,2,TRUE)</f>
        <v>//|</v>
      </c>
      <c r="P1395" s="23">
        <v>1</v>
      </c>
      <c r="Q1395" s="43" t="str">
        <f>VLOOKUP($D1395,Sheet1!$J$5:$L$192,2,TRUE)</f>
        <v>//|'</v>
      </c>
      <c r="R1395" s="23">
        <f>FLOOR(VLOOKUP($D1395,Sheet1!$M$5:$O$192,3,TRUE),1)</f>
        <v>89</v>
      </c>
      <c r="S1395" s="43" t="str">
        <f>VLOOKUP($D1395,Sheet1!$M$5:$O$192,2,TRUE)</f>
        <v>//|'</v>
      </c>
      <c r="T1395" s="117">
        <f>IF(ABS(D1395-VLOOKUP($D1395,Sheet1!$M$5:$T$192,8,TRUE))&lt;10^-10,"SoCA",D1395-VLOOKUP($D1395,Sheet1!$M$5:$T$192,8,TRUE))</f>
        <v>0.1496872279411221</v>
      </c>
      <c r="U1395" s="117">
        <f>IF(VLOOKUP($D1395,Sheet1!$M$5:$U$192,9,TRUE)=0,"",IF(ABS(D1395-VLOOKUP($D1395,Sheet1!$M$5:$U$192,9,TRUE))&lt;10^-10,"Alt.",D1395-VLOOKUP($D1395,Sheet1!$M$5:$U$192,9,TRUE)))</f>
        <v>0.17664752314355781</v>
      </c>
      <c r="V1395" s="132">
        <f>$D1395-Sheet1!$M$3*$R1395</f>
        <v>0.16023778416528245</v>
      </c>
      <c r="Z1395" s="6"/>
      <c r="AA1395" s="61"/>
    </row>
    <row r="1396" spans="1:27" ht="13.5">
      <c r="A1396" t="s">
        <v>1192</v>
      </c>
      <c r="B1396">
        <v>315</v>
      </c>
      <c r="C1396">
        <v>323</v>
      </c>
      <c r="D1396" s="13">
        <f t="shared" si="28"/>
        <v>43.418803567975154</v>
      </c>
      <c r="E1396" s="61">
        <v>19</v>
      </c>
      <c r="F1396" s="65">
        <v>48.318959920429101</v>
      </c>
      <c r="G1396" s="6">
        <v>1097</v>
      </c>
      <c r="H1396" s="6">
        <v>1041</v>
      </c>
      <c r="I1396" s="65">
        <v>-4.67345391899382</v>
      </c>
      <c r="J1396" s="6">
        <f>VLOOKUP($D1396,Sheet1!$A$5:$C$192,3,TRUE)</f>
        <v>8</v>
      </c>
      <c r="K1396" s="42" t="str">
        <f>VLOOKUP($D1396,Sheet1!$A$5:$C$192,2,TRUE)</f>
        <v>//|</v>
      </c>
      <c r="L1396" s="6">
        <f>FLOOR(VLOOKUP($D1396,Sheet1!$D$5:$F$192,3,TRUE),1)</f>
        <v>18</v>
      </c>
      <c r="M1396" s="42" t="str">
        <f>VLOOKUP($D1396,Sheet1!$D$5:$F$192,2,TRUE)</f>
        <v>//|</v>
      </c>
      <c r="N1396" s="23">
        <f>FLOOR(VLOOKUP($D1396,Sheet1!$G$5:$I$192,3,TRUE),1)</f>
        <v>22</v>
      </c>
      <c r="O1396" s="42" t="str">
        <f>VLOOKUP($D1396,Sheet1!$G$5:$I$192,2,TRUE)</f>
        <v>//|</v>
      </c>
      <c r="P1396" s="23">
        <v>1</v>
      </c>
      <c r="Q1396" s="43" t="str">
        <f>VLOOKUP($D1396,Sheet1!$J$5:$L$192,2,TRUE)</f>
        <v>//|'</v>
      </c>
      <c r="R1396" s="23">
        <f>FLOOR(VLOOKUP($D1396,Sheet1!$M$5:$O$192,3,TRUE),1)</f>
        <v>89</v>
      </c>
      <c r="S1396" s="42" t="str">
        <f>VLOOKUP($D1396,Sheet1!$M$5:$O$192,2,TRUE)</f>
        <v>//|'</v>
      </c>
      <c r="T1396" s="117">
        <f>IF(ABS(D1396-VLOOKUP($D1396,Sheet1!$M$5:$T$192,8,TRUE))&lt;10^-10,"SoCA",D1396-VLOOKUP($D1396,Sheet1!$M$5:$T$192,8,TRUE))</f>
        <v>-1.6491791409357859E-2</v>
      </c>
      <c r="U1396" s="109">
        <f>IF(VLOOKUP($D1396,Sheet1!$M$5:$U$192,9,TRUE)=0,"",IF(ABS(D1396-VLOOKUP($D1396,Sheet1!$M$5:$U$192,9,TRUE))&lt;10^-10,"Alt.",D1396-VLOOKUP($D1396,Sheet1!$M$5:$U$192,9,TRUE)))</f>
        <v>1.0468503793077844E-2</v>
      </c>
      <c r="V1396" s="132">
        <f>$D1396-Sheet1!$M$3*$R1396</f>
        <v>-5.9412351851975131E-3</v>
      </c>
      <c r="Z1396" s="6"/>
      <c r="AA1396" s="61"/>
    </row>
    <row r="1397" spans="1:27" ht="13.5">
      <c r="A1397" t="s">
        <v>486</v>
      </c>
      <c r="B1397">
        <v>1900544</v>
      </c>
      <c r="C1397">
        <v>1948617</v>
      </c>
      <c r="D1397" s="13">
        <f t="shared" si="28"/>
        <v>43.245757730931935</v>
      </c>
      <c r="E1397" s="61">
        <v>29</v>
      </c>
      <c r="F1397" s="65">
        <v>64.482276607405197</v>
      </c>
      <c r="G1397" s="6">
        <v>292</v>
      </c>
      <c r="H1397" s="6">
        <v>326</v>
      </c>
      <c r="I1397" s="65">
        <v>8.3372011436332407</v>
      </c>
      <c r="J1397" s="6">
        <f>VLOOKUP($D1397,Sheet1!$A$5:$C$192,3,TRUE)</f>
        <v>8</v>
      </c>
      <c r="K1397" s="42" t="str">
        <f>VLOOKUP($D1397,Sheet1!$A$5:$C$192,2,TRUE)</f>
        <v>//|</v>
      </c>
      <c r="L1397" s="6">
        <f>FLOOR(VLOOKUP($D1397,Sheet1!$D$5:$F$192,3,TRUE),1)</f>
        <v>18</v>
      </c>
      <c r="M1397" s="42" t="str">
        <f>VLOOKUP($D1397,Sheet1!$D$5:$F$192,2,TRUE)</f>
        <v>//|</v>
      </c>
      <c r="N1397" s="23">
        <f>FLOOR(VLOOKUP($D1397,Sheet1!$G$5:$I$192,3,TRUE),1)</f>
        <v>22</v>
      </c>
      <c r="O1397" s="42" t="str">
        <f>VLOOKUP($D1397,Sheet1!$G$5:$I$192,2,TRUE)</f>
        <v>//|</v>
      </c>
      <c r="P1397" s="23">
        <v>1</v>
      </c>
      <c r="Q1397" s="43" t="str">
        <f>VLOOKUP($D1397,Sheet1!$J$5:$L$192,2,TRUE)</f>
        <v>//|'</v>
      </c>
      <c r="R1397" s="23">
        <f>FLOOR(VLOOKUP($D1397,Sheet1!$M$5:$O$192,3,TRUE),1)</f>
        <v>89</v>
      </c>
      <c r="S1397" s="42" t="str">
        <f>VLOOKUP($D1397,Sheet1!$M$5:$O$192,2,TRUE)</f>
        <v>//|'</v>
      </c>
      <c r="T1397" s="117">
        <f>IF(ABS(D1397-VLOOKUP($D1397,Sheet1!$M$5:$T$192,8,TRUE))&lt;10^-10,"SoCA",D1397-VLOOKUP($D1397,Sheet1!$M$5:$T$192,8,TRUE))</f>
        <v>-0.18953762845257671</v>
      </c>
      <c r="U1397" s="109">
        <f>IF(VLOOKUP($D1397,Sheet1!$M$5:$U$192,9,TRUE)=0,"",IF(ABS(D1397-VLOOKUP($D1397,Sheet1!$M$5:$U$192,9,TRUE))&lt;10^-10,"Alt.",D1397-VLOOKUP($D1397,Sheet1!$M$5:$U$192,9,TRUE)))</f>
        <v>-0.16257733325014101</v>
      </c>
      <c r="V1397" s="132">
        <f>$D1397-Sheet1!$M$3*$R1397</f>
        <v>-0.17898707222841637</v>
      </c>
      <c r="Z1397" s="6"/>
      <c r="AA1397" s="61"/>
    </row>
    <row r="1398" spans="1:27" ht="13.5">
      <c r="A1398" s="6" t="s">
        <v>1825</v>
      </c>
      <c r="B1398" s="6">
        <f>3^9*5^3</f>
        <v>2460375</v>
      </c>
      <c r="C1398" s="6">
        <f>2^15*7*11</f>
        <v>2523136</v>
      </c>
      <c r="D1398" s="13">
        <f t="shared" si="28"/>
        <v>43.607699450890429</v>
      </c>
      <c r="E1398" s="61">
        <v>11</v>
      </c>
      <c r="F1398" s="65">
        <v>76.964165089923355</v>
      </c>
      <c r="G1398" s="59">
        <v>1527</v>
      </c>
      <c r="H1398" s="63">
        <v>1000030</v>
      </c>
      <c r="I1398" s="65">
        <v>-11.685084926690083</v>
      </c>
      <c r="J1398" s="6">
        <f>VLOOKUP($D1398,Sheet1!$A$5:$C$192,3,TRUE)</f>
        <v>8</v>
      </c>
      <c r="K1398" s="42" t="str">
        <f>VLOOKUP($D1398,Sheet1!$A$5:$C$192,2,TRUE)</f>
        <v>//|</v>
      </c>
      <c r="L1398" s="6">
        <f>FLOOR(VLOOKUP($D1398,Sheet1!$D$5:$F$192,3,TRUE),1)</f>
        <v>18</v>
      </c>
      <c r="M1398" s="42" t="str">
        <f>VLOOKUP($D1398,Sheet1!$D$5:$F$192,2,TRUE)</f>
        <v>//|</v>
      </c>
      <c r="N1398" s="23">
        <f>FLOOR(VLOOKUP($D1398,Sheet1!$G$5:$I$192,3,TRUE),1)</f>
        <v>22</v>
      </c>
      <c r="O1398" s="42" t="str">
        <f>VLOOKUP($D1398,Sheet1!$G$5:$I$192,2,TRUE)</f>
        <v>//|</v>
      </c>
      <c r="P1398" s="23">
        <v>1</v>
      </c>
      <c r="Q1398" s="43" t="str">
        <f>VLOOKUP($D1398,Sheet1!$J$5:$L$192,2,TRUE)</f>
        <v>//|'</v>
      </c>
      <c r="R1398" s="23">
        <f>FLOOR(VLOOKUP($D1398,Sheet1!$M$5:$O$192,3,TRUE),1)</f>
        <v>89</v>
      </c>
      <c r="S1398" s="42" t="str">
        <f>VLOOKUP($D1398,Sheet1!$M$5:$O$192,2,TRUE)</f>
        <v>//|'</v>
      </c>
      <c r="T1398" s="117">
        <f>IF(ABS(D1398-VLOOKUP($D1398,Sheet1!$M$5:$T$192,8,TRUE))&lt;10^-10,"SoCA",D1398-VLOOKUP($D1398,Sheet1!$M$5:$T$192,8,TRUE))</f>
        <v>0.17240409150591773</v>
      </c>
      <c r="U1398" s="109">
        <f>IF(VLOOKUP($D1398,Sheet1!$M$5:$U$192,9,TRUE)=0,"",IF(ABS(D1398-VLOOKUP($D1398,Sheet1!$M$5:$U$192,9,TRUE))&lt;10^-10,"Alt.",D1398-VLOOKUP($D1398,Sheet1!$M$5:$U$192,9,TRUE)))</f>
        <v>0.19936438670835344</v>
      </c>
      <c r="V1398" s="132">
        <f>$D1398-Sheet1!$M$3*$R1398</f>
        <v>0.18295464773007808</v>
      </c>
      <c r="Z1398" s="6"/>
      <c r="AA1398" s="61"/>
    </row>
    <row r="1399" spans="1:27" ht="13.5">
      <c r="A1399" t="s">
        <v>1354</v>
      </c>
      <c r="B1399">
        <v>134368</v>
      </c>
      <c r="C1399">
        <v>137781</v>
      </c>
      <c r="D1399" s="13">
        <f t="shared" si="28"/>
        <v>43.424826855591157</v>
      </c>
      <c r="E1399" s="61">
        <v>19</v>
      </c>
      <c r="F1399" s="65">
        <v>85.042218446652228</v>
      </c>
      <c r="G1399" s="6">
        <v>1268</v>
      </c>
      <c r="H1399" s="6">
        <v>1203</v>
      </c>
      <c r="I1399" s="65">
        <v>6.3261752052436311</v>
      </c>
      <c r="J1399" s="6">
        <f>VLOOKUP($D1399,Sheet1!$A$5:$C$192,3,TRUE)</f>
        <v>8</v>
      </c>
      <c r="K1399" s="42" t="str">
        <f>VLOOKUP($D1399,Sheet1!$A$5:$C$192,2,TRUE)</f>
        <v>//|</v>
      </c>
      <c r="L1399" s="6">
        <f>FLOOR(VLOOKUP($D1399,Sheet1!$D$5:$F$192,3,TRUE),1)</f>
        <v>18</v>
      </c>
      <c r="M1399" s="42" t="str">
        <f>VLOOKUP($D1399,Sheet1!$D$5:$F$192,2,TRUE)</f>
        <v>//|</v>
      </c>
      <c r="N1399" s="23">
        <f>FLOOR(VLOOKUP($D1399,Sheet1!$G$5:$I$192,3,TRUE),1)</f>
        <v>22</v>
      </c>
      <c r="O1399" s="42" t="str">
        <f>VLOOKUP($D1399,Sheet1!$G$5:$I$192,2,TRUE)</f>
        <v>//|</v>
      </c>
      <c r="P1399" s="23">
        <v>1</v>
      </c>
      <c r="Q1399" s="43" t="str">
        <f>VLOOKUP($D1399,Sheet1!$J$5:$L$192,2,TRUE)</f>
        <v>//|'</v>
      </c>
      <c r="R1399" s="23">
        <f>FLOOR(VLOOKUP($D1399,Sheet1!$M$5:$O$192,3,TRUE),1)</f>
        <v>89</v>
      </c>
      <c r="S1399" s="42" t="str">
        <f>VLOOKUP($D1399,Sheet1!$M$5:$O$192,2,TRUE)</f>
        <v>//|'</v>
      </c>
      <c r="T1399" s="117">
        <f>IF(ABS(D1399-VLOOKUP($D1399,Sheet1!$M$5:$T$192,8,TRUE))&lt;10^-10,"SoCA",D1399-VLOOKUP($D1399,Sheet1!$M$5:$T$192,8,TRUE))</f>
        <v>-1.0468503793354955E-2</v>
      </c>
      <c r="U1399" s="109">
        <f>IF(VLOOKUP($D1399,Sheet1!$M$5:$U$192,9,TRUE)=0,"",IF(ABS(D1399-VLOOKUP($D1399,Sheet1!$M$5:$U$192,9,TRUE))&lt;10^-10,"Alt.",D1399-VLOOKUP($D1399,Sheet1!$M$5:$U$192,9,TRUE)))</f>
        <v>1.6491791409080747E-2</v>
      </c>
      <c r="V1399" s="132">
        <f>$D1399-Sheet1!$M$3*$R1399</f>
        <v>8.2052430805390486E-5</v>
      </c>
      <c r="Z1399" s="6"/>
      <c r="AA1399" s="61"/>
    </row>
    <row r="1400" spans="1:27" ht="13.5">
      <c r="A1400" t="s">
        <v>1697</v>
      </c>
      <c r="B1400">
        <v>50301</v>
      </c>
      <c r="C1400">
        <v>51584</v>
      </c>
      <c r="D1400" s="13">
        <f t="shared" si="28"/>
        <v>43.603880907433634</v>
      </c>
      <c r="E1400" s="61">
        <v>31</v>
      </c>
      <c r="F1400" s="65">
        <v>91.522788824768583</v>
      </c>
      <c r="G1400" s="6">
        <v>1610</v>
      </c>
      <c r="H1400" s="6">
        <v>1546</v>
      </c>
      <c r="I1400" s="65">
        <v>-9.6848498050577358</v>
      </c>
      <c r="J1400" s="6">
        <f>VLOOKUP($D1400,Sheet1!$A$5:$C$192,3,TRUE)</f>
        <v>8</v>
      </c>
      <c r="K1400" s="42" t="str">
        <f>VLOOKUP($D1400,Sheet1!$A$5:$C$192,2,TRUE)</f>
        <v>//|</v>
      </c>
      <c r="L1400" s="6">
        <f>FLOOR(VLOOKUP($D1400,Sheet1!$D$5:$F$192,3,TRUE),1)</f>
        <v>18</v>
      </c>
      <c r="M1400" s="42" t="str">
        <f>VLOOKUP($D1400,Sheet1!$D$5:$F$192,2,TRUE)</f>
        <v>//|</v>
      </c>
      <c r="N1400" s="23">
        <f>FLOOR(VLOOKUP($D1400,Sheet1!$G$5:$I$192,3,TRUE),1)</f>
        <v>22</v>
      </c>
      <c r="O1400" s="42" t="str">
        <f>VLOOKUP($D1400,Sheet1!$G$5:$I$192,2,TRUE)</f>
        <v>//|</v>
      </c>
      <c r="P1400" s="23">
        <v>1</v>
      </c>
      <c r="Q1400" s="43" t="str">
        <f>VLOOKUP($D1400,Sheet1!$J$5:$L$192,2,TRUE)</f>
        <v>//|'</v>
      </c>
      <c r="R1400" s="23">
        <f>FLOOR(VLOOKUP($D1400,Sheet1!$M$5:$O$192,3,TRUE),1)</f>
        <v>89</v>
      </c>
      <c r="S1400" s="42" t="str">
        <f>VLOOKUP($D1400,Sheet1!$M$5:$O$192,2,TRUE)</f>
        <v>//|'</v>
      </c>
      <c r="T1400" s="117">
        <f>IF(ABS(D1400-VLOOKUP($D1400,Sheet1!$M$5:$T$192,8,TRUE))&lt;10^-10,"SoCA",D1400-VLOOKUP($D1400,Sheet1!$M$5:$T$192,8,TRUE))</f>
        <v>0.16858554804912274</v>
      </c>
      <c r="U1400" s="109">
        <f>IF(VLOOKUP($D1400,Sheet1!$M$5:$U$192,9,TRUE)=0,"",IF(ABS(D1400-VLOOKUP($D1400,Sheet1!$M$5:$U$192,9,TRUE))&lt;10^-10,"Alt.",D1400-VLOOKUP($D1400,Sheet1!$M$5:$U$192,9,TRUE)))</f>
        <v>0.19554584325155844</v>
      </c>
      <c r="V1400" s="132">
        <f>$D1400-Sheet1!$M$3*$R1400</f>
        <v>0.17913610427328308</v>
      </c>
      <c r="Z1400" s="6"/>
      <c r="AA1400" s="61"/>
    </row>
    <row r="1401" spans="1:27" ht="13.5">
      <c r="A1401" t="s">
        <v>595</v>
      </c>
      <c r="B1401">
        <v>79</v>
      </c>
      <c r="C1401">
        <v>81</v>
      </c>
      <c r="D1401" s="13">
        <f t="shared" si="28"/>
        <v>43.283105649026012</v>
      </c>
      <c r="E1401" s="61" t="s">
        <v>1931</v>
      </c>
      <c r="F1401" s="65">
        <v>95.02482832262281</v>
      </c>
      <c r="G1401" s="6">
        <v>490</v>
      </c>
      <c r="H1401" s="6">
        <v>440</v>
      </c>
      <c r="I1401" s="65">
        <v>1.3349014962503141</v>
      </c>
      <c r="J1401" s="6">
        <f>VLOOKUP($D1401,Sheet1!$A$5:$C$192,3,TRUE)</f>
        <v>8</v>
      </c>
      <c r="K1401" s="42" t="str">
        <f>VLOOKUP($D1401,Sheet1!$A$5:$C$192,2,TRUE)</f>
        <v>//|</v>
      </c>
      <c r="L1401" s="6">
        <f>FLOOR(VLOOKUP($D1401,Sheet1!$D$5:$F$192,3,TRUE),1)</f>
        <v>18</v>
      </c>
      <c r="M1401" s="42" t="str">
        <f>VLOOKUP($D1401,Sheet1!$D$5:$F$192,2,TRUE)</f>
        <v>//|</v>
      </c>
      <c r="N1401" s="23">
        <f>FLOOR(VLOOKUP($D1401,Sheet1!$G$5:$I$192,3,TRUE),1)</f>
        <v>22</v>
      </c>
      <c r="O1401" s="42" t="str">
        <f>VLOOKUP($D1401,Sheet1!$G$5:$I$192,2,TRUE)</f>
        <v>//|</v>
      </c>
      <c r="P1401" s="23">
        <v>1</v>
      </c>
      <c r="Q1401" s="43" t="str">
        <f>VLOOKUP($D1401,Sheet1!$J$5:$L$192,2,TRUE)</f>
        <v>//|'</v>
      </c>
      <c r="R1401" s="23">
        <f>FLOOR(VLOOKUP($D1401,Sheet1!$M$5:$O$192,3,TRUE),1)</f>
        <v>89</v>
      </c>
      <c r="S1401" s="42" t="str">
        <f>VLOOKUP($D1401,Sheet1!$M$5:$O$192,2,TRUE)</f>
        <v>//|'</v>
      </c>
      <c r="T1401" s="117">
        <f>IF(ABS(D1401-VLOOKUP($D1401,Sheet1!$M$5:$T$192,8,TRUE))&lt;10^-10,"SoCA",D1401-VLOOKUP($D1401,Sheet1!$M$5:$T$192,8,TRUE))</f>
        <v>-0.15218971035849904</v>
      </c>
      <c r="U1401" s="109">
        <f>IF(VLOOKUP($D1401,Sheet1!$M$5:$U$192,9,TRUE)=0,"",IF(ABS(D1401-VLOOKUP($D1401,Sheet1!$M$5:$U$192,9,TRUE))&lt;10^-10,"Alt.",D1401-VLOOKUP($D1401,Sheet1!$M$5:$U$192,9,TRUE)))</f>
        <v>-0.12522941515606334</v>
      </c>
      <c r="V1401" s="132">
        <f>$D1401-Sheet1!$M$3*$R1401</f>
        <v>-0.1416391541343387</v>
      </c>
      <c r="Z1401" s="6"/>
      <c r="AA1401" s="61"/>
    </row>
    <row r="1402" spans="1:27" ht="13.5">
      <c r="A1402" t="s">
        <v>891</v>
      </c>
      <c r="B1402">
        <v>196</v>
      </c>
      <c r="C1402">
        <v>201</v>
      </c>
      <c r="D1402" s="13">
        <f t="shared" si="28"/>
        <v>43.61021647646443</v>
      </c>
      <c r="E1402" s="61" t="s">
        <v>1931</v>
      </c>
      <c r="F1402" s="65">
        <v>97.263662817095735</v>
      </c>
      <c r="G1402" s="6">
        <v>800</v>
      </c>
      <c r="H1402" s="6">
        <v>739</v>
      </c>
      <c r="I1402" s="65">
        <v>-1.685239909124697</v>
      </c>
      <c r="J1402" s="6">
        <f>VLOOKUP($D1402,Sheet1!$A$5:$C$192,3,TRUE)</f>
        <v>8</v>
      </c>
      <c r="K1402" s="42" t="str">
        <f>VLOOKUP($D1402,Sheet1!$A$5:$C$192,2,TRUE)</f>
        <v>//|</v>
      </c>
      <c r="L1402" s="6">
        <f>FLOOR(VLOOKUP($D1402,Sheet1!$D$5:$F$192,3,TRUE),1)</f>
        <v>18</v>
      </c>
      <c r="M1402" s="42" t="str">
        <f>VLOOKUP($D1402,Sheet1!$D$5:$F$192,2,TRUE)</f>
        <v>//|</v>
      </c>
      <c r="N1402" s="23">
        <f>FLOOR(VLOOKUP($D1402,Sheet1!$G$5:$I$192,3,TRUE),1)</f>
        <v>22</v>
      </c>
      <c r="O1402" s="42" t="str">
        <f>VLOOKUP($D1402,Sheet1!$G$5:$I$192,2,TRUE)</f>
        <v>//|</v>
      </c>
      <c r="P1402" s="23">
        <v>1</v>
      </c>
      <c r="Q1402" s="43" t="str">
        <f>VLOOKUP($D1402,Sheet1!$J$5:$L$192,2,TRUE)</f>
        <v>//|'</v>
      </c>
      <c r="R1402" s="23">
        <f>FLOOR(VLOOKUP($D1402,Sheet1!$M$5:$O$192,3,TRUE),1)</f>
        <v>89</v>
      </c>
      <c r="S1402" s="42" t="str">
        <f>VLOOKUP($D1402,Sheet1!$M$5:$O$192,2,TRUE)</f>
        <v>//|'</v>
      </c>
      <c r="T1402" s="117">
        <f>IF(ABS(D1402-VLOOKUP($D1402,Sheet1!$M$5:$T$192,8,TRUE))&lt;10^-10,"SoCA",D1402-VLOOKUP($D1402,Sheet1!$M$5:$T$192,8,TRUE))</f>
        <v>0.17492111707991853</v>
      </c>
      <c r="U1402" s="109">
        <f>IF(VLOOKUP($D1402,Sheet1!$M$5:$U$192,9,TRUE)=0,"",IF(ABS(D1402-VLOOKUP($D1402,Sheet1!$M$5:$U$192,9,TRUE))&lt;10^-10,"Alt.",D1402-VLOOKUP($D1402,Sheet1!$M$5:$U$192,9,TRUE)))</f>
        <v>0.20188141228235423</v>
      </c>
      <c r="V1402" s="132">
        <f>$D1402-Sheet1!$M$3*$R1402</f>
        <v>0.18547167330407888</v>
      </c>
      <c r="Z1402" s="6"/>
      <c r="AA1402" s="61"/>
    </row>
    <row r="1403" spans="1:27" ht="13.5">
      <c r="A1403" t="s">
        <v>887</v>
      </c>
      <c r="B1403">
        <v>131072</v>
      </c>
      <c r="C1403">
        <v>134385</v>
      </c>
      <c r="D1403" s="13">
        <f t="shared" si="28"/>
        <v>43.215106195287071</v>
      </c>
      <c r="E1403" s="61">
        <v>31</v>
      </c>
      <c r="F1403" s="65">
        <v>126.06097924718019</v>
      </c>
      <c r="G1403" s="6">
        <v>797</v>
      </c>
      <c r="H1403" s="6">
        <v>734</v>
      </c>
      <c r="I1403" s="65">
        <v>-1.6609115296474815</v>
      </c>
      <c r="J1403" s="6">
        <f>VLOOKUP($D1403,Sheet1!$A$5:$C$192,3,TRUE)</f>
        <v>8</v>
      </c>
      <c r="K1403" s="42" t="str">
        <f>VLOOKUP($D1403,Sheet1!$A$5:$C$192,2,TRUE)</f>
        <v>//|</v>
      </c>
      <c r="L1403" s="6">
        <f>FLOOR(VLOOKUP($D1403,Sheet1!$D$5:$F$192,3,TRUE),1)</f>
        <v>18</v>
      </c>
      <c r="M1403" s="42" t="str">
        <f>VLOOKUP($D1403,Sheet1!$D$5:$F$192,2,TRUE)</f>
        <v>//|</v>
      </c>
      <c r="N1403" s="23">
        <f>FLOOR(VLOOKUP($D1403,Sheet1!$G$5:$I$192,3,TRUE),1)</f>
        <v>22</v>
      </c>
      <c r="O1403" s="42" t="str">
        <f>VLOOKUP($D1403,Sheet1!$G$5:$I$192,2,TRUE)</f>
        <v>//|</v>
      </c>
      <c r="P1403" s="23">
        <v>1</v>
      </c>
      <c r="Q1403" s="43" t="str">
        <f>VLOOKUP($D1403,Sheet1!$J$5:$L$192,2,TRUE)</f>
        <v>//|'</v>
      </c>
      <c r="R1403" s="23">
        <f>FLOOR(VLOOKUP($D1403,Sheet1!$M$5:$O$192,3,TRUE),1)</f>
        <v>89</v>
      </c>
      <c r="S1403" s="42" t="str">
        <f>VLOOKUP($D1403,Sheet1!$M$5:$O$192,2,TRUE)</f>
        <v>//|'</v>
      </c>
      <c r="T1403" s="117">
        <f>IF(ABS(D1403-VLOOKUP($D1403,Sheet1!$M$5:$T$192,8,TRUE))&lt;10^-10,"SoCA",D1403-VLOOKUP($D1403,Sheet1!$M$5:$T$192,8,TRUE))</f>
        <v>-0.22018916409744094</v>
      </c>
      <c r="U1403" s="109">
        <f>IF(VLOOKUP($D1403,Sheet1!$M$5:$U$192,9,TRUE)=0,"",IF(ABS(D1403-VLOOKUP($D1403,Sheet1!$M$5:$U$192,9,TRUE))&lt;10^-10,"Alt.",D1403-VLOOKUP($D1403,Sheet1!$M$5:$U$192,9,TRUE)))</f>
        <v>-0.19322886889500523</v>
      </c>
      <c r="V1403" s="132">
        <f>$D1403-Sheet1!$M$3*$R1403</f>
        <v>-0.20963860787328059</v>
      </c>
      <c r="Z1403" s="6"/>
      <c r="AA1403" s="61"/>
    </row>
    <row r="1404" spans="1:27" ht="13.5">
      <c r="A1404" t="s">
        <v>1159</v>
      </c>
      <c r="B1404">
        <v>462848</v>
      </c>
      <c r="C1404">
        <v>474579</v>
      </c>
      <c r="D1404" s="13">
        <f t="shared" si="28"/>
        <v>43.331730092861939</v>
      </c>
      <c r="E1404" s="61" t="s">
        <v>1931</v>
      </c>
      <c r="F1404" s="65">
        <v>183.25835236391336</v>
      </c>
      <c r="G1404" s="6">
        <v>1061</v>
      </c>
      <c r="H1404" s="6">
        <v>1008</v>
      </c>
      <c r="I1404" s="65">
        <v>4.3319075120948423</v>
      </c>
      <c r="J1404" s="6">
        <f>VLOOKUP($D1404,Sheet1!$A$5:$C$192,3,TRUE)</f>
        <v>8</v>
      </c>
      <c r="K1404" s="42" t="str">
        <f>VLOOKUP($D1404,Sheet1!$A$5:$C$192,2,TRUE)</f>
        <v>//|</v>
      </c>
      <c r="L1404" s="6">
        <f>FLOOR(VLOOKUP($D1404,Sheet1!$D$5:$F$192,3,TRUE),1)</f>
        <v>18</v>
      </c>
      <c r="M1404" s="42" t="str">
        <f>VLOOKUP($D1404,Sheet1!$D$5:$F$192,2,TRUE)</f>
        <v>//|</v>
      </c>
      <c r="N1404" s="23">
        <f>FLOOR(VLOOKUP($D1404,Sheet1!$G$5:$I$192,3,TRUE),1)</f>
        <v>22</v>
      </c>
      <c r="O1404" s="42" t="str">
        <f>VLOOKUP($D1404,Sheet1!$G$5:$I$192,2,TRUE)</f>
        <v>//|</v>
      </c>
      <c r="P1404" s="23">
        <v>1</v>
      </c>
      <c r="Q1404" s="43" t="str">
        <f>VLOOKUP($D1404,Sheet1!$J$5:$L$192,2,TRUE)</f>
        <v>//|'</v>
      </c>
      <c r="R1404" s="23">
        <f>FLOOR(VLOOKUP($D1404,Sheet1!$M$5:$O$192,3,TRUE),1)</f>
        <v>89</v>
      </c>
      <c r="S1404" s="42" t="str">
        <f>VLOOKUP($D1404,Sheet1!$M$5:$O$192,2,TRUE)</f>
        <v>//|'</v>
      </c>
      <c r="T1404" s="117">
        <f>IF(ABS(D1404-VLOOKUP($D1404,Sheet1!$M$5:$T$192,8,TRUE))&lt;10^-10,"SoCA",D1404-VLOOKUP($D1404,Sheet1!$M$5:$T$192,8,TRUE))</f>
        <v>-0.10356526652257259</v>
      </c>
      <c r="U1404" s="109">
        <f>IF(VLOOKUP($D1404,Sheet1!$M$5:$U$192,9,TRUE)=0,"",IF(ABS(D1404-VLOOKUP($D1404,Sheet1!$M$5:$U$192,9,TRUE))&lt;10^-10,"Alt.",D1404-VLOOKUP($D1404,Sheet1!$M$5:$U$192,9,TRUE)))</f>
        <v>-7.6604971320136883E-2</v>
      </c>
      <c r="V1404" s="132">
        <f>$D1404-Sheet1!$M$3*$R1404</f>
        <v>-9.301471029841224E-2</v>
      </c>
      <c r="Z1404" s="6"/>
      <c r="AA1404" s="61"/>
    </row>
    <row r="1405" spans="1:27" ht="13.5">
      <c r="A1405" s="36" t="s">
        <v>175</v>
      </c>
      <c r="B1405" s="36">
        <f>3*13</f>
        <v>39</v>
      </c>
      <c r="C1405" s="36">
        <f>2^3*5</f>
        <v>40</v>
      </c>
      <c r="D1405" s="51">
        <f t="shared" si="28"/>
        <v>43.831051230136659</v>
      </c>
      <c r="E1405" s="61">
        <v>13</v>
      </c>
      <c r="F1405" s="65">
        <v>18.123999895896418</v>
      </c>
      <c r="G1405" s="6">
        <v>28</v>
      </c>
      <c r="H1405" s="6">
        <v>26</v>
      </c>
      <c r="I1405" s="65">
        <v>-3.6988375094531065</v>
      </c>
      <c r="J1405" s="6">
        <f>VLOOKUP($D1405,Sheet1!$A$5:$C$192,3,TRUE)</f>
        <v>8</v>
      </c>
      <c r="K1405" s="42" t="str">
        <f>VLOOKUP($D1405,Sheet1!$A$5:$C$192,2,TRUE)</f>
        <v>//|</v>
      </c>
      <c r="L1405" s="6">
        <f>FLOOR(VLOOKUP($D1405,Sheet1!$D$5:$F$192,3,TRUE),1)</f>
        <v>18</v>
      </c>
      <c r="M1405" s="42" t="str">
        <f>VLOOKUP($D1405,Sheet1!$D$5:$F$192,2,TRUE)</f>
        <v>//|</v>
      </c>
      <c r="N1405" s="23">
        <f>FLOOR(VLOOKUP($D1405,Sheet1!$G$5:$I$192,3,TRUE),1)</f>
        <v>22</v>
      </c>
      <c r="O1405" s="42" t="str">
        <f>VLOOKUP($D1405,Sheet1!$G$5:$I$192,2,TRUE)</f>
        <v>//|</v>
      </c>
      <c r="P1405" s="23">
        <v>1</v>
      </c>
      <c r="Q1405" s="45" t="str">
        <f>VLOOKUP($D1405,Sheet1!$J$5:$L$192,2,TRUE)</f>
        <v>//|''</v>
      </c>
      <c r="R1405" s="38">
        <f>FLOOR(VLOOKUP($D1405,Sheet1!$M$5:$O$192,3,TRUE),1)</f>
        <v>90</v>
      </c>
      <c r="S1405" s="45" t="str">
        <f>VLOOKUP($D1405,Sheet1!$M$5:$O$192,2,TRUE)</f>
        <v>//|''</v>
      </c>
      <c r="T1405" s="108">
        <f>IF(ABS(D1405-VLOOKUP($D1405,Sheet1!$M$5:$T$192,8,TRUE))&lt;10^-10,"SoCA",D1405-VLOOKUP($D1405,Sheet1!$M$5:$T$192,8,TRUE))</f>
        <v>-1.4052167394623893E-2</v>
      </c>
      <c r="U1405" s="112" t="str">
        <f>IF(VLOOKUP($D1405,Sheet1!$M$5:$U$192,9,TRUE)=0,"",IF(ABS(D1405-VLOOKUP($D1405,Sheet1!$M$5:$U$192,9,TRUE))&lt;10^-10,"Alt.",D1405-VLOOKUP($D1405,Sheet1!$M$5:$U$192,9,TRUE)))</f>
        <v>Alt.</v>
      </c>
      <c r="V1405" s="133">
        <f>$D1405-Sheet1!$M$3*$R1405</f>
        <v>-8.1612053958075137E-2</v>
      </c>
      <c r="Z1405" s="6"/>
      <c r="AA1405" s="61"/>
    </row>
    <row r="1406" spans="1:27" ht="13.5">
      <c r="A1406" s="23" t="s">
        <v>849</v>
      </c>
      <c r="B1406" s="23">
        <f>2^6*5*19</f>
        <v>6080</v>
      </c>
      <c r="C1406" s="23">
        <f>3^4*7*11</f>
        <v>6237</v>
      </c>
      <c r="D1406" s="13">
        <f t="shared" si="28"/>
        <v>44.137122298293789</v>
      </c>
      <c r="E1406" s="61">
        <v>19</v>
      </c>
      <c r="F1406" s="65">
        <v>42.192662537539576</v>
      </c>
      <c r="G1406" s="6">
        <v>766</v>
      </c>
      <c r="H1406" s="6">
        <v>696</v>
      </c>
      <c r="I1406" s="65">
        <v>1.2823165798028477</v>
      </c>
      <c r="J1406" s="6">
        <f>VLOOKUP($D1406,Sheet1!$A$5:$C$192,3,TRUE)</f>
        <v>8</v>
      </c>
      <c r="K1406" s="42" t="str">
        <f>VLOOKUP($D1406,Sheet1!$A$5:$C$192,2,TRUE)</f>
        <v>//|</v>
      </c>
      <c r="L1406" s="6">
        <f>FLOOR(VLOOKUP($D1406,Sheet1!$D$5:$F$192,3,TRUE),1)</f>
        <v>18</v>
      </c>
      <c r="M1406" s="42" t="str">
        <f>VLOOKUP($D1406,Sheet1!$D$5:$F$192,2,TRUE)</f>
        <v>//|</v>
      </c>
      <c r="N1406" s="23">
        <f>FLOOR(VLOOKUP($D1406,Sheet1!$G$5:$I$192,3,TRUE),1)</f>
        <v>22</v>
      </c>
      <c r="O1406" s="42" t="str">
        <f>VLOOKUP($D1406,Sheet1!$G$5:$I$192,2,TRUE)</f>
        <v>//|</v>
      </c>
      <c r="P1406" s="23">
        <v>1</v>
      </c>
      <c r="Q1406" s="43" t="str">
        <f>VLOOKUP($D1406,Sheet1!$J$5:$L$192,2,TRUE)</f>
        <v>//|''</v>
      </c>
      <c r="R1406" s="23">
        <f>FLOOR(VLOOKUP($D1406,Sheet1!$M$5:$O$192,3,TRUE),1)</f>
        <v>90</v>
      </c>
      <c r="S1406" s="43" t="str">
        <f>VLOOKUP($D1406,Sheet1!$M$5:$O$192,2,TRUE)</f>
        <v>//|''</v>
      </c>
      <c r="T1406" s="117">
        <f>IF(ABS(D1406-VLOOKUP($D1406,Sheet1!$M$5:$T$192,8,TRUE))&lt;10^-10,"SoCA",D1406-VLOOKUP($D1406,Sheet1!$M$5:$T$192,8,TRUE))</f>
        <v>0.29201890076250692</v>
      </c>
      <c r="U1406" s="117">
        <f>IF(VLOOKUP($D1406,Sheet1!$M$5:$U$192,9,TRUE)=0,"",IF(ABS(D1406-VLOOKUP($D1406,Sheet1!$M$5:$U$192,9,TRUE))&lt;10^-10,"Alt.",D1406-VLOOKUP($D1406,Sheet1!$M$5:$U$192,9,TRUE)))</f>
        <v>0.30607106815696028</v>
      </c>
      <c r="V1406" s="132">
        <f>$D1406-Sheet1!$M$3*$R1406</f>
        <v>0.22445901419905567</v>
      </c>
      <c r="Z1406" s="6"/>
      <c r="AA1406" s="61"/>
    </row>
    <row r="1407" spans="1:27" ht="13.5">
      <c r="A1407" s="14" t="s">
        <v>283</v>
      </c>
      <c r="B1407" s="14">
        <f>2^4*17</f>
        <v>272</v>
      </c>
      <c r="C1407" s="14">
        <f>3^2*31</f>
        <v>279</v>
      </c>
      <c r="D1407" s="13">
        <f t="shared" si="28"/>
        <v>43.99016469461764</v>
      </c>
      <c r="E1407" s="61">
        <v>31</v>
      </c>
      <c r="F1407" s="65">
        <v>48.060881181898559</v>
      </c>
      <c r="G1407" s="6">
        <v>125</v>
      </c>
      <c r="H1407" s="6">
        <v>104</v>
      </c>
      <c r="I1407" s="65">
        <v>-0.70863470514311233</v>
      </c>
      <c r="J1407" s="6">
        <f>VLOOKUP($D1407,Sheet1!$A$5:$C$192,3,TRUE)</f>
        <v>8</v>
      </c>
      <c r="K1407" s="42" t="str">
        <f>VLOOKUP($D1407,Sheet1!$A$5:$C$192,2,TRUE)</f>
        <v>//|</v>
      </c>
      <c r="L1407" s="6">
        <f>FLOOR(VLOOKUP($D1407,Sheet1!$D$5:$F$192,3,TRUE),1)</f>
        <v>18</v>
      </c>
      <c r="M1407" s="42" t="str">
        <f>VLOOKUP($D1407,Sheet1!$D$5:$F$192,2,TRUE)</f>
        <v>//|</v>
      </c>
      <c r="N1407" s="23">
        <f>FLOOR(VLOOKUP($D1407,Sheet1!$G$5:$I$192,3,TRUE),1)</f>
        <v>22</v>
      </c>
      <c r="O1407" s="42" t="str">
        <f>VLOOKUP($D1407,Sheet1!$G$5:$I$192,2,TRUE)</f>
        <v>//|</v>
      </c>
      <c r="P1407" s="23">
        <v>1</v>
      </c>
      <c r="Q1407" s="43" t="str">
        <f>VLOOKUP($D1407,Sheet1!$J$5:$L$192,2,TRUE)</f>
        <v>//|''</v>
      </c>
      <c r="R1407" s="23">
        <f>FLOOR(VLOOKUP($D1407,Sheet1!$M$5:$O$192,3,TRUE),1)</f>
        <v>90</v>
      </c>
      <c r="S1407" s="42" t="str">
        <f>VLOOKUP($D1407,Sheet1!$M$5:$O$192,2,TRUE)</f>
        <v>//|''</v>
      </c>
      <c r="T1407" s="117">
        <f>IF(ABS(D1407-VLOOKUP($D1407,Sheet1!$M$5:$T$192,8,TRUE))&lt;10^-10,"SoCA",D1407-VLOOKUP($D1407,Sheet1!$M$5:$T$192,8,TRUE))</f>
        <v>0.1450612970863574</v>
      </c>
      <c r="U1407" s="109">
        <f>IF(VLOOKUP($D1407,Sheet1!$M$5:$U$192,9,TRUE)=0,"",IF(ABS(D1407-VLOOKUP($D1407,Sheet1!$M$5:$U$192,9,TRUE))&lt;10^-10,"Alt.",D1407-VLOOKUP($D1407,Sheet1!$M$5:$U$192,9,TRUE)))</f>
        <v>0.15911346448081076</v>
      </c>
      <c r="V1407" s="132">
        <f>$D1407-Sheet1!$M$3*$R1407</f>
        <v>7.7501410522906156E-2</v>
      </c>
      <c r="Z1407" s="6"/>
      <c r="AA1407" s="61"/>
    </row>
    <row r="1408" spans="1:27" ht="13.5">
      <c r="A1408" s="21" t="s">
        <v>173</v>
      </c>
      <c r="B1408" s="21">
        <f>3^8*7</f>
        <v>45927</v>
      </c>
      <c r="C1408" s="21">
        <f>2^11*23</f>
        <v>47104</v>
      </c>
      <c r="D1408" s="13">
        <f t="shared" si="28"/>
        <v>43.808433876191025</v>
      </c>
      <c r="E1408" s="61">
        <v>23</v>
      </c>
      <c r="F1408" s="65">
        <v>48.346807613693045</v>
      </c>
      <c r="G1408" s="59">
        <v>282</v>
      </c>
      <c r="H1408" s="59">
        <v>105.5</v>
      </c>
      <c r="I1408" s="65">
        <v>-10.697444876571167</v>
      </c>
      <c r="J1408" s="6">
        <f>VLOOKUP($D1408,Sheet1!$A$5:$C$192,3,TRUE)</f>
        <v>8</v>
      </c>
      <c r="K1408" s="42" t="str">
        <f>VLOOKUP($D1408,Sheet1!$A$5:$C$192,2,TRUE)</f>
        <v>//|</v>
      </c>
      <c r="L1408" s="6">
        <f>FLOOR(VLOOKUP($D1408,Sheet1!$D$5:$F$192,3,TRUE),1)</f>
        <v>18</v>
      </c>
      <c r="M1408" s="42" t="str">
        <f>VLOOKUP($D1408,Sheet1!$D$5:$F$192,2,TRUE)</f>
        <v>//|</v>
      </c>
      <c r="N1408" s="23">
        <f>FLOOR(VLOOKUP($D1408,Sheet1!$G$5:$I$192,3,TRUE),1)</f>
        <v>22</v>
      </c>
      <c r="O1408" s="42" t="str">
        <f>VLOOKUP($D1408,Sheet1!$G$5:$I$192,2,TRUE)</f>
        <v>//|</v>
      </c>
      <c r="P1408" s="23">
        <v>1</v>
      </c>
      <c r="Q1408" s="43" t="str">
        <f>VLOOKUP($D1408,Sheet1!$J$5:$L$192,2,TRUE)</f>
        <v>//|''</v>
      </c>
      <c r="R1408" s="23">
        <f>FLOOR(VLOOKUP($D1408,Sheet1!$M$5:$O$192,3,TRUE),1)</f>
        <v>90</v>
      </c>
      <c r="S1408" s="43" t="str">
        <f>VLOOKUP($D1408,Sheet1!$M$5:$O$192,2,TRUE)</f>
        <v>//|''</v>
      </c>
      <c r="T1408" s="117">
        <f>IF(ABS(D1408-VLOOKUP($D1408,Sheet1!$M$5:$T$192,8,TRUE))&lt;10^-10,"SoCA",D1408-VLOOKUP($D1408,Sheet1!$M$5:$T$192,8,TRUE))</f>
        <v>-3.6669521340257916E-2</v>
      </c>
      <c r="U1408" s="109">
        <f>IF(VLOOKUP($D1408,Sheet1!$M$5:$U$192,9,TRUE)=0,"",IF(ABS(D1408-VLOOKUP($D1408,Sheet1!$M$5:$U$192,9,TRUE))&lt;10^-10,"Alt.",D1408-VLOOKUP($D1408,Sheet1!$M$5:$U$192,9,TRUE)))</f>
        <v>-2.2617353945804552E-2</v>
      </c>
      <c r="V1408" s="132">
        <f>$D1408-Sheet1!$M$3*$R1408</f>
        <v>-0.10422940790370916</v>
      </c>
      <c r="Z1408" s="6"/>
      <c r="AA1408" s="61"/>
    </row>
    <row r="1409" spans="1:27" ht="13.5">
      <c r="A1409" s="6" t="s">
        <v>708</v>
      </c>
      <c r="B1409" s="6">
        <f>2^13*5^4</f>
        <v>5120000</v>
      </c>
      <c r="C1409" s="6">
        <f>3^7*7^4</f>
        <v>5250987</v>
      </c>
      <c r="D1409" s="13">
        <f t="shared" si="28"/>
        <v>43.7337764748724</v>
      </c>
      <c r="E1409" s="61">
        <v>7</v>
      </c>
      <c r="F1409" s="65">
        <v>49.597017674002807</v>
      </c>
      <c r="G1409" s="6">
        <v>592</v>
      </c>
      <c r="H1409" s="6">
        <v>553</v>
      </c>
      <c r="I1409" s="65">
        <v>4.3071520516197417</v>
      </c>
      <c r="J1409" s="6">
        <f>VLOOKUP($D1409,Sheet1!$A$5:$C$192,3,TRUE)</f>
        <v>8</v>
      </c>
      <c r="K1409" s="42" t="str">
        <f>VLOOKUP($D1409,Sheet1!$A$5:$C$192,2,TRUE)</f>
        <v>//|</v>
      </c>
      <c r="L1409" s="6">
        <f>FLOOR(VLOOKUP($D1409,Sheet1!$D$5:$F$192,3,TRUE),1)</f>
        <v>18</v>
      </c>
      <c r="M1409" s="42" t="str">
        <f>VLOOKUP($D1409,Sheet1!$D$5:$F$192,2,TRUE)</f>
        <v>//|</v>
      </c>
      <c r="N1409" s="23">
        <f>FLOOR(VLOOKUP($D1409,Sheet1!$G$5:$I$192,3,TRUE),1)</f>
        <v>22</v>
      </c>
      <c r="O1409" s="42" t="str">
        <f>VLOOKUP($D1409,Sheet1!$G$5:$I$192,2,TRUE)</f>
        <v>//|</v>
      </c>
      <c r="P1409" s="23">
        <v>1</v>
      </c>
      <c r="Q1409" s="43" t="str">
        <f>VLOOKUP($D1409,Sheet1!$J$5:$L$192,2,TRUE)</f>
        <v>//|''</v>
      </c>
      <c r="R1409" s="23">
        <f>FLOOR(VLOOKUP($D1409,Sheet1!$M$5:$O$192,3,TRUE),1)</f>
        <v>90</v>
      </c>
      <c r="S1409" s="42" t="str">
        <f>VLOOKUP($D1409,Sheet1!$M$5:$O$192,2,TRUE)</f>
        <v>//|''</v>
      </c>
      <c r="T1409" s="117">
        <f>IF(ABS(D1409-VLOOKUP($D1409,Sheet1!$M$5:$T$192,8,TRUE))&lt;10^-10,"SoCA",D1409-VLOOKUP($D1409,Sheet1!$M$5:$T$192,8,TRUE))</f>
        <v>-0.11132692265888267</v>
      </c>
      <c r="U1409" s="109">
        <f>IF(VLOOKUP($D1409,Sheet1!$M$5:$U$192,9,TRUE)=0,"",IF(ABS(D1409-VLOOKUP($D1409,Sheet1!$M$5:$U$192,9,TRUE))&lt;10^-10,"Alt.",D1409-VLOOKUP($D1409,Sheet1!$M$5:$U$192,9,TRUE)))</f>
        <v>-9.7274755264429302E-2</v>
      </c>
      <c r="V1409" s="132">
        <f>$D1409-Sheet1!$M$3*$R1409</f>
        <v>-0.17888680922233391</v>
      </c>
      <c r="Z1409" s="6"/>
      <c r="AA1409" s="61"/>
    </row>
    <row r="1410" spans="1:27" ht="13.5">
      <c r="A1410" t="s">
        <v>636</v>
      </c>
      <c r="B1410">
        <v>3080</v>
      </c>
      <c r="C1410">
        <v>3159</v>
      </c>
      <c r="D1410" s="13">
        <f t="shared" si="28"/>
        <v>43.845103397531318</v>
      </c>
      <c r="E1410" s="61">
        <v>13</v>
      </c>
      <c r="F1410" s="65">
        <v>50.771010155133439</v>
      </c>
      <c r="G1410" s="6">
        <v>532</v>
      </c>
      <c r="H1410" s="6">
        <v>481</v>
      </c>
      <c r="I1410" s="65">
        <v>2.3002972474055712</v>
      </c>
      <c r="J1410" s="6">
        <f>VLOOKUP($D1410,Sheet1!$A$5:$C$192,3,TRUE)</f>
        <v>8</v>
      </c>
      <c r="K1410" s="42" t="str">
        <f>VLOOKUP($D1410,Sheet1!$A$5:$C$192,2,TRUE)</f>
        <v>//|</v>
      </c>
      <c r="L1410" s="6">
        <f>FLOOR(VLOOKUP($D1410,Sheet1!$D$5:$F$192,3,TRUE),1)</f>
        <v>18</v>
      </c>
      <c r="M1410" s="42" t="str">
        <f>VLOOKUP($D1410,Sheet1!$D$5:$F$192,2,TRUE)</f>
        <v>//|</v>
      </c>
      <c r="N1410" s="23">
        <f>FLOOR(VLOOKUP($D1410,Sheet1!$G$5:$I$192,3,TRUE),1)</f>
        <v>22</v>
      </c>
      <c r="O1410" s="42" t="str">
        <f>VLOOKUP($D1410,Sheet1!$G$5:$I$192,2,TRUE)</f>
        <v>//|</v>
      </c>
      <c r="P1410" s="23">
        <v>1</v>
      </c>
      <c r="Q1410" s="43" t="str">
        <f>VLOOKUP($D1410,Sheet1!$J$5:$L$192,2,TRUE)</f>
        <v>//|''</v>
      </c>
      <c r="R1410" s="23">
        <f>FLOOR(VLOOKUP($D1410,Sheet1!$M$5:$O$192,3,TRUE),1)</f>
        <v>90</v>
      </c>
      <c r="S1410" s="42" t="str">
        <f>VLOOKUP($D1410,Sheet1!$M$5:$O$192,2,TRUE)</f>
        <v>//|''</v>
      </c>
      <c r="T1410" s="124" t="str">
        <f>IF(ABS(D1410-VLOOKUP($D1410,Sheet1!$M$5:$T$192,8,TRUE))&lt;10^-10,"SoCA",D1410-VLOOKUP($D1410,Sheet1!$M$5:$T$192,8,TRUE))</f>
        <v>SoCA</v>
      </c>
      <c r="U1410" s="109">
        <f>IF(VLOOKUP($D1410,Sheet1!$M$5:$U$192,9,TRUE)=0,"",IF(ABS(D1410-VLOOKUP($D1410,Sheet1!$M$5:$U$192,9,TRUE))&lt;10^-10,"Alt.",D1410-VLOOKUP($D1410,Sheet1!$M$5:$U$192,9,TRUE)))</f>
        <v>1.405216739448889E-2</v>
      </c>
      <c r="V1410" s="132">
        <f>$D1410-Sheet1!$M$3*$R1410</f>
        <v>-6.7559886563415716E-2</v>
      </c>
      <c r="Z1410" s="6"/>
      <c r="AA1410" s="61"/>
    </row>
    <row r="1411" spans="1:27" ht="13.5">
      <c r="A1411" t="s">
        <v>449</v>
      </c>
      <c r="B1411">
        <v>3993</v>
      </c>
      <c r="C1411">
        <v>4096</v>
      </c>
      <c r="D1411" s="13">
        <f t="shared" ref="D1411:D1474" si="29">1200*LN($C1411/$B1411)/LN(2)</f>
        <v>44.091172040342308</v>
      </c>
      <c r="E1411" s="61">
        <v>11</v>
      </c>
      <c r="F1411" s="65">
        <v>52.948587242698189</v>
      </c>
      <c r="G1411" s="6">
        <v>317</v>
      </c>
      <c r="H1411" s="6">
        <v>287</v>
      </c>
      <c r="I1411" s="65">
        <v>-3.7148540954091755</v>
      </c>
      <c r="J1411" s="6">
        <f>VLOOKUP($D1411,Sheet1!$A$5:$C$192,3,TRUE)</f>
        <v>8</v>
      </c>
      <c r="K1411" s="42" t="str">
        <f>VLOOKUP($D1411,Sheet1!$A$5:$C$192,2,TRUE)</f>
        <v>//|</v>
      </c>
      <c r="L1411" s="6">
        <f>FLOOR(VLOOKUP($D1411,Sheet1!$D$5:$F$192,3,TRUE),1)</f>
        <v>18</v>
      </c>
      <c r="M1411" s="42" t="str">
        <f>VLOOKUP($D1411,Sheet1!$D$5:$F$192,2,TRUE)</f>
        <v>//|</v>
      </c>
      <c r="N1411" s="23">
        <f>FLOOR(VLOOKUP($D1411,Sheet1!$G$5:$I$192,3,TRUE),1)</f>
        <v>22</v>
      </c>
      <c r="O1411" s="42" t="str">
        <f>VLOOKUP($D1411,Sheet1!$G$5:$I$192,2,TRUE)</f>
        <v>//|</v>
      </c>
      <c r="P1411" s="23">
        <v>1</v>
      </c>
      <c r="Q1411" s="43" t="str">
        <f>VLOOKUP($D1411,Sheet1!$J$5:$L$192,2,TRUE)</f>
        <v>//|''</v>
      </c>
      <c r="R1411" s="23">
        <f>FLOOR(VLOOKUP($D1411,Sheet1!$M$5:$O$192,3,TRUE),1)</f>
        <v>90</v>
      </c>
      <c r="S1411" s="42" t="str">
        <f>VLOOKUP($D1411,Sheet1!$M$5:$O$192,2,TRUE)</f>
        <v>//|''</v>
      </c>
      <c r="T1411" s="117">
        <f>IF(ABS(D1411-VLOOKUP($D1411,Sheet1!$M$5:$T$192,8,TRUE))&lt;10^-10,"SoCA",D1411-VLOOKUP($D1411,Sheet1!$M$5:$T$192,8,TRUE))</f>
        <v>0.24606864281102503</v>
      </c>
      <c r="U1411" s="109">
        <f>IF(VLOOKUP($D1411,Sheet1!$M$5:$U$192,9,TRUE)=0,"",IF(ABS(D1411-VLOOKUP($D1411,Sheet1!$M$5:$U$192,9,TRUE))&lt;10^-10,"Alt.",D1411-VLOOKUP($D1411,Sheet1!$M$5:$U$192,9,TRUE)))</f>
        <v>0.26012081020547839</v>
      </c>
      <c r="V1411" s="132">
        <f>$D1411-Sheet1!$M$3*$R1411</f>
        <v>0.17850875624757379</v>
      </c>
      <c r="Z1411" s="6"/>
      <c r="AA1411" s="61"/>
    </row>
    <row r="1412" spans="1:27" ht="13.5">
      <c r="A1412" s="6" t="s">
        <v>450</v>
      </c>
      <c r="B1412" s="6">
        <f>3^5*19</f>
        <v>4617</v>
      </c>
      <c r="C1412" s="6">
        <f>2^7*37</f>
        <v>4736</v>
      </c>
      <c r="D1412" s="13">
        <f t="shared" si="29"/>
        <v>44.056018295500088</v>
      </c>
      <c r="E1412" s="61">
        <v>37</v>
      </c>
      <c r="F1412" s="65">
        <v>58.711611049243324</v>
      </c>
      <c r="G1412" s="6">
        <v>275</v>
      </c>
      <c r="H1412" s="6">
        <v>288</v>
      </c>
      <c r="I1412" s="65">
        <v>-7.7126895512671751</v>
      </c>
      <c r="J1412" s="6">
        <f>VLOOKUP($D1412,Sheet1!$A$5:$C$192,3,TRUE)</f>
        <v>8</v>
      </c>
      <c r="K1412" s="42" t="str">
        <f>VLOOKUP($D1412,Sheet1!$A$5:$C$192,2,TRUE)</f>
        <v>//|</v>
      </c>
      <c r="L1412" s="6">
        <f>FLOOR(VLOOKUP($D1412,Sheet1!$D$5:$F$192,3,TRUE),1)</f>
        <v>18</v>
      </c>
      <c r="M1412" s="42" t="str">
        <f>VLOOKUP($D1412,Sheet1!$D$5:$F$192,2,TRUE)</f>
        <v>//|</v>
      </c>
      <c r="N1412" s="23">
        <f>FLOOR(VLOOKUP($D1412,Sheet1!$G$5:$I$192,3,TRUE),1)</f>
        <v>22</v>
      </c>
      <c r="O1412" s="42" t="str">
        <f>VLOOKUP($D1412,Sheet1!$G$5:$I$192,2,TRUE)</f>
        <v>//|</v>
      </c>
      <c r="P1412" s="23">
        <v>1</v>
      </c>
      <c r="Q1412" s="43" t="str">
        <f>VLOOKUP($D1412,Sheet1!$J$5:$L$192,2,TRUE)</f>
        <v>//|''</v>
      </c>
      <c r="R1412" s="23">
        <f>FLOOR(VLOOKUP($D1412,Sheet1!$M$5:$O$192,3,TRUE),1)</f>
        <v>90</v>
      </c>
      <c r="S1412" s="42" t="str">
        <f>VLOOKUP($D1412,Sheet1!$M$5:$O$192,2,TRUE)</f>
        <v>//|''</v>
      </c>
      <c r="T1412" s="117">
        <f>IF(ABS(D1412-VLOOKUP($D1412,Sheet1!$M$5:$T$192,8,TRUE))&lt;10^-10,"SoCA",D1412-VLOOKUP($D1412,Sheet1!$M$5:$T$192,8,TRUE))</f>
        <v>0.2109148979688058</v>
      </c>
      <c r="U1412" s="109">
        <f>IF(VLOOKUP($D1412,Sheet1!$M$5:$U$192,9,TRUE)=0,"",IF(ABS(D1412-VLOOKUP($D1412,Sheet1!$M$5:$U$192,9,TRUE))&lt;10^-10,"Alt.",D1412-VLOOKUP($D1412,Sheet1!$M$5:$U$192,9,TRUE)))</f>
        <v>0.22496706536325917</v>
      </c>
      <c r="V1412" s="132">
        <f>$D1412-Sheet1!$M$3*$R1412</f>
        <v>0.14335501140535456</v>
      </c>
      <c r="Z1412" s="6"/>
      <c r="AA1412" s="61"/>
    </row>
    <row r="1413" spans="1:27" ht="13.5">
      <c r="A1413" t="s">
        <v>1698</v>
      </c>
      <c r="B1413">
        <v>2044845</v>
      </c>
      <c r="C1413">
        <v>2097152</v>
      </c>
      <c r="D1413" s="13">
        <f t="shared" si="29"/>
        <v>43.727928212289235</v>
      </c>
      <c r="E1413" s="61">
        <v>17</v>
      </c>
      <c r="F1413" s="65">
        <v>62.182629618266091</v>
      </c>
      <c r="G1413" s="6">
        <v>1612</v>
      </c>
      <c r="H1413" s="6">
        <v>1547</v>
      </c>
      <c r="I1413" s="65">
        <v>-9.692487849546632</v>
      </c>
      <c r="J1413" s="6">
        <f>VLOOKUP($D1413,Sheet1!$A$5:$C$192,3,TRUE)</f>
        <v>8</v>
      </c>
      <c r="K1413" s="42" t="str">
        <f>VLOOKUP($D1413,Sheet1!$A$5:$C$192,2,TRUE)</f>
        <v>//|</v>
      </c>
      <c r="L1413" s="6">
        <f>FLOOR(VLOOKUP($D1413,Sheet1!$D$5:$F$192,3,TRUE),1)</f>
        <v>18</v>
      </c>
      <c r="M1413" s="42" t="str">
        <f>VLOOKUP($D1413,Sheet1!$D$5:$F$192,2,TRUE)</f>
        <v>//|</v>
      </c>
      <c r="N1413" s="23">
        <f>FLOOR(VLOOKUP($D1413,Sheet1!$G$5:$I$192,3,TRUE),1)</f>
        <v>22</v>
      </c>
      <c r="O1413" s="42" t="str">
        <f>VLOOKUP($D1413,Sheet1!$G$5:$I$192,2,TRUE)</f>
        <v>//|</v>
      </c>
      <c r="P1413" s="23">
        <v>1</v>
      </c>
      <c r="Q1413" s="43" t="str">
        <f>VLOOKUP($D1413,Sheet1!$J$5:$L$192,2,TRUE)</f>
        <v>//|''</v>
      </c>
      <c r="R1413" s="23">
        <f>FLOOR(VLOOKUP($D1413,Sheet1!$M$5:$O$192,3,TRUE),1)</f>
        <v>90</v>
      </c>
      <c r="S1413" s="42" t="str">
        <f>VLOOKUP($D1413,Sheet1!$M$5:$O$192,2,TRUE)</f>
        <v>//|''</v>
      </c>
      <c r="T1413" s="117">
        <f>IF(ABS(D1413-VLOOKUP($D1413,Sheet1!$M$5:$T$192,8,TRUE))&lt;10^-10,"SoCA",D1413-VLOOKUP($D1413,Sheet1!$M$5:$T$192,8,TRUE))</f>
        <v>-0.11717518524204706</v>
      </c>
      <c r="U1413" s="109">
        <f>IF(VLOOKUP($D1413,Sheet1!$M$5:$U$192,9,TRUE)=0,"",IF(ABS(D1413-VLOOKUP($D1413,Sheet1!$M$5:$U$192,9,TRUE))&lt;10^-10,"Alt.",D1413-VLOOKUP($D1413,Sheet1!$M$5:$U$192,9,TRUE)))</f>
        <v>-0.1031230178475937</v>
      </c>
      <c r="V1413" s="132">
        <f>$D1413-Sheet1!$M$3*$R1413</f>
        <v>-0.18473507180549831</v>
      </c>
      <c r="Z1413" s="6"/>
      <c r="AA1413" s="61"/>
    </row>
    <row r="1414" spans="1:27" ht="13.5">
      <c r="A1414" s="6" t="s">
        <v>331</v>
      </c>
      <c r="B1414" s="6">
        <f>2^14</f>
        <v>16384</v>
      </c>
      <c r="C1414" s="6">
        <f>7^5</f>
        <v>16807</v>
      </c>
      <c r="D1414" s="13">
        <f t="shared" si="29"/>
        <v>44.129532345624646</v>
      </c>
      <c r="E1414" s="61">
        <v>7</v>
      </c>
      <c r="F1414" s="65">
        <v>70.075562119077929</v>
      </c>
      <c r="G1414" s="6">
        <v>182</v>
      </c>
      <c r="H1414" s="6">
        <v>164</v>
      </c>
      <c r="I1414" s="65">
        <v>-2.7172160791596101</v>
      </c>
      <c r="J1414" s="6">
        <f>VLOOKUP($D1414,Sheet1!$A$5:$C$192,3,TRUE)</f>
        <v>8</v>
      </c>
      <c r="K1414" s="42" t="str">
        <f>VLOOKUP($D1414,Sheet1!$A$5:$C$192,2,TRUE)</f>
        <v>//|</v>
      </c>
      <c r="L1414" s="6">
        <f>FLOOR(VLOOKUP($D1414,Sheet1!$D$5:$F$192,3,TRUE),1)</f>
        <v>18</v>
      </c>
      <c r="M1414" s="42" t="str">
        <f>VLOOKUP($D1414,Sheet1!$D$5:$F$192,2,TRUE)</f>
        <v>//|</v>
      </c>
      <c r="N1414" s="23">
        <f>FLOOR(VLOOKUP($D1414,Sheet1!$G$5:$I$192,3,TRUE),1)</f>
        <v>22</v>
      </c>
      <c r="O1414" s="42" t="str">
        <f>VLOOKUP($D1414,Sheet1!$G$5:$I$192,2,TRUE)</f>
        <v>//|</v>
      </c>
      <c r="P1414" s="23">
        <v>1</v>
      </c>
      <c r="Q1414" s="43" t="str">
        <f>VLOOKUP($D1414,Sheet1!$J$5:$L$192,2,TRUE)</f>
        <v>//|''</v>
      </c>
      <c r="R1414" s="23">
        <f>FLOOR(VLOOKUP($D1414,Sheet1!$M$5:$O$192,3,TRUE),1)</f>
        <v>90</v>
      </c>
      <c r="S1414" s="42" t="str">
        <f>VLOOKUP($D1414,Sheet1!$M$5:$O$192,2,TRUE)</f>
        <v>//|''</v>
      </c>
      <c r="T1414" s="117">
        <f>IF(ABS(D1414-VLOOKUP($D1414,Sheet1!$M$5:$T$192,8,TRUE))&lt;10^-10,"SoCA",D1414-VLOOKUP($D1414,Sheet1!$M$5:$T$192,8,TRUE))</f>
        <v>0.28442894809336394</v>
      </c>
      <c r="U1414" s="109">
        <f>IF(VLOOKUP($D1414,Sheet1!$M$5:$U$192,9,TRUE)=0,"",IF(ABS(D1414-VLOOKUP($D1414,Sheet1!$M$5:$U$192,9,TRUE))&lt;10^-10,"Alt.",D1414-VLOOKUP($D1414,Sheet1!$M$5:$U$192,9,TRUE)))</f>
        <v>0.29848111548781731</v>
      </c>
      <c r="V1414" s="132">
        <f>$D1414-Sheet1!$M$3*$R1414</f>
        <v>0.2168690615299127</v>
      </c>
      <c r="Z1414" s="6"/>
      <c r="AA1414" s="61"/>
    </row>
    <row r="1415" spans="1:27" ht="13.5">
      <c r="A1415" t="s">
        <v>852</v>
      </c>
      <c r="B1415">
        <v>3712</v>
      </c>
      <c r="C1415">
        <v>3807</v>
      </c>
      <c r="D1415" s="13">
        <f t="shared" si="29"/>
        <v>43.749431321628052</v>
      </c>
      <c r="E1415" s="61">
        <v>47</v>
      </c>
      <c r="F1415" s="65">
        <v>76.222299259478703</v>
      </c>
      <c r="G1415" s="6">
        <v>769</v>
      </c>
      <c r="H1415" s="6">
        <v>699</v>
      </c>
      <c r="I1415" s="65">
        <v>1.3061881256712842</v>
      </c>
      <c r="J1415" s="6">
        <f>VLOOKUP($D1415,Sheet1!$A$5:$C$192,3,TRUE)</f>
        <v>8</v>
      </c>
      <c r="K1415" s="42" t="str">
        <f>VLOOKUP($D1415,Sheet1!$A$5:$C$192,2,TRUE)</f>
        <v>//|</v>
      </c>
      <c r="L1415" s="6">
        <f>FLOOR(VLOOKUP($D1415,Sheet1!$D$5:$F$192,3,TRUE),1)</f>
        <v>18</v>
      </c>
      <c r="M1415" s="42" t="str">
        <f>VLOOKUP($D1415,Sheet1!$D$5:$F$192,2,TRUE)</f>
        <v>//|</v>
      </c>
      <c r="N1415" s="23">
        <f>FLOOR(VLOOKUP($D1415,Sheet1!$G$5:$I$192,3,TRUE),1)</f>
        <v>22</v>
      </c>
      <c r="O1415" s="42" t="str">
        <f>VLOOKUP($D1415,Sheet1!$G$5:$I$192,2,TRUE)</f>
        <v>//|</v>
      </c>
      <c r="P1415" s="23">
        <v>1</v>
      </c>
      <c r="Q1415" s="43" t="str">
        <f>VLOOKUP($D1415,Sheet1!$J$5:$L$192,2,TRUE)</f>
        <v>//|''</v>
      </c>
      <c r="R1415" s="23">
        <f>FLOOR(VLOOKUP($D1415,Sheet1!$M$5:$O$192,3,TRUE),1)</f>
        <v>90</v>
      </c>
      <c r="S1415" s="42" t="str">
        <f>VLOOKUP($D1415,Sheet1!$M$5:$O$192,2,TRUE)</f>
        <v>//|''</v>
      </c>
      <c r="T1415" s="117">
        <f>IF(ABS(D1415-VLOOKUP($D1415,Sheet1!$M$5:$T$192,8,TRUE))&lt;10^-10,"SoCA",D1415-VLOOKUP($D1415,Sheet1!$M$5:$T$192,8,TRUE))</f>
        <v>-9.5672075903230791E-2</v>
      </c>
      <c r="U1415" s="109">
        <f>IF(VLOOKUP($D1415,Sheet1!$M$5:$U$192,9,TRUE)=0,"",IF(ABS(D1415-VLOOKUP($D1415,Sheet1!$M$5:$U$192,9,TRUE))&lt;10^-10,"Alt.",D1415-VLOOKUP($D1415,Sheet1!$M$5:$U$192,9,TRUE)))</f>
        <v>-8.1619908508777428E-2</v>
      </c>
      <c r="V1415" s="132">
        <f>$D1415-Sheet1!$M$3*$R1415</f>
        <v>-0.16323196246668203</v>
      </c>
      <c r="Z1415" s="6"/>
      <c r="AA1415" s="61"/>
    </row>
    <row r="1416" spans="1:27" ht="13.5">
      <c r="A1416" t="s">
        <v>470</v>
      </c>
      <c r="B1416">
        <v>155648</v>
      </c>
      <c r="C1416">
        <v>159651</v>
      </c>
      <c r="D1416" s="13">
        <f t="shared" si="29"/>
        <v>43.961460581429833</v>
      </c>
      <c r="E1416" s="61" t="s">
        <v>1931</v>
      </c>
      <c r="F1416" s="65">
        <v>93.852321387601094</v>
      </c>
      <c r="G1416" s="6">
        <v>338</v>
      </c>
      <c r="H1416" s="6">
        <v>308</v>
      </c>
      <c r="I1416" s="65">
        <v>4.2931327116806388</v>
      </c>
      <c r="J1416" s="6">
        <f>VLOOKUP($D1416,Sheet1!$A$5:$C$192,3,TRUE)</f>
        <v>8</v>
      </c>
      <c r="K1416" s="42" t="str">
        <f>VLOOKUP($D1416,Sheet1!$A$5:$C$192,2,TRUE)</f>
        <v>//|</v>
      </c>
      <c r="L1416" s="6">
        <f>FLOOR(VLOOKUP($D1416,Sheet1!$D$5:$F$192,3,TRUE),1)</f>
        <v>18</v>
      </c>
      <c r="M1416" s="42" t="str">
        <f>VLOOKUP($D1416,Sheet1!$D$5:$F$192,2,TRUE)</f>
        <v>//|</v>
      </c>
      <c r="N1416" s="23">
        <f>FLOOR(VLOOKUP($D1416,Sheet1!$G$5:$I$192,3,TRUE),1)</f>
        <v>22</v>
      </c>
      <c r="O1416" s="42" t="str">
        <f>VLOOKUP($D1416,Sheet1!$G$5:$I$192,2,TRUE)</f>
        <v>//|</v>
      </c>
      <c r="P1416" s="23">
        <v>1</v>
      </c>
      <c r="Q1416" s="43" t="str">
        <f>VLOOKUP($D1416,Sheet1!$J$5:$L$192,2,TRUE)</f>
        <v>//|''</v>
      </c>
      <c r="R1416" s="23">
        <f>FLOOR(VLOOKUP($D1416,Sheet1!$M$5:$O$192,3,TRUE),1)</f>
        <v>90</v>
      </c>
      <c r="S1416" s="42" t="str">
        <f>VLOOKUP($D1416,Sheet1!$M$5:$O$192,2,TRUE)</f>
        <v>//|''</v>
      </c>
      <c r="T1416" s="117">
        <f>IF(ABS(D1416-VLOOKUP($D1416,Sheet1!$M$5:$T$192,8,TRUE))&lt;10^-10,"SoCA",D1416-VLOOKUP($D1416,Sheet1!$M$5:$T$192,8,TRUE))</f>
        <v>0.11635718389855043</v>
      </c>
      <c r="U1416" s="109">
        <f>IF(VLOOKUP($D1416,Sheet1!$M$5:$U$192,9,TRUE)=0,"",IF(ABS(D1416-VLOOKUP($D1416,Sheet1!$M$5:$U$192,9,TRUE))&lt;10^-10,"Alt.",D1416-VLOOKUP($D1416,Sheet1!$M$5:$U$192,9,TRUE)))</f>
        <v>0.13040935129300379</v>
      </c>
      <c r="V1416" s="132">
        <f>$D1416-Sheet1!$M$3*$R1416</f>
        <v>4.8797297335099188E-2</v>
      </c>
      <c r="Z1416" s="6"/>
      <c r="AA1416" s="61"/>
    </row>
    <row r="1417" spans="1:27" ht="13.5">
      <c r="A1417" t="s">
        <v>1659</v>
      </c>
      <c r="B1417">
        <v>518144</v>
      </c>
      <c r="C1417">
        <v>531441</v>
      </c>
      <c r="D1417" s="13">
        <f t="shared" si="29"/>
        <v>43.867720751476917</v>
      </c>
      <c r="E1417" s="61">
        <v>23</v>
      </c>
      <c r="F1417" s="65">
        <v>94.377422080943333</v>
      </c>
      <c r="G1417" s="6">
        <v>1567</v>
      </c>
      <c r="H1417" s="6">
        <v>1508</v>
      </c>
      <c r="I1417" s="65">
        <v>9.298904614523634</v>
      </c>
      <c r="J1417" s="6">
        <f>VLOOKUP($D1417,Sheet1!$A$5:$C$192,3,TRUE)</f>
        <v>8</v>
      </c>
      <c r="K1417" s="42" t="str">
        <f>VLOOKUP($D1417,Sheet1!$A$5:$C$192,2,TRUE)</f>
        <v>//|</v>
      </c>
      <c r="L1417" s="6">
        <f>FLOOR(VLOOKUP($D1417,Sheet1!$D$5:$F$192,3,TRUE),1)</f>
        <v>18</v>
      </c>
      <c r="M1417" s="42" t="str">
        <f>VLOOKUP($D1417,Sheet1!$D$5:$F$192,2,TRUE)</f>
        <v>//|</v>
      </c>
      <c r="N1417" s="23">
        <f>FLOOR(VLOOKUP($D1417,Sheet1!$G$5:$I$192,3,TRUE),1)</f>
        <v>22</v>
      </c>
      <c r="O1417" s="42" t="str">
        <f>VLOOKUP($D1417,Sheet1!$G$5:$I$192,2,TRUE)</f>
        <v>//|</v>
      </c>
      <c r="P1417" s="23">
        <v>1</v>
      </c>
      <c r="Q1417" s="43" t="str">
        <f>VLOOKUP($D1417,Sheet1!$J$5:$L$192,2,TRUE)</f>
        <v>//|''</v>
      </c>
      <c r="R1417" s="23">
        <f>FLOOR(VLOOKUP($D1417,Sheet1!$M$5:$O$192,3,TRUE),1)</f>
        <v>90</v>
      </c>
      <c r="S1417" s="42" t="str">
        <f>VLOOKUP($D1417,Sheet1!$M$5:$O$192,2,TRUE)</f>
        <v>//|''</v>
      </c>
      <c r="T1417" s="117">
        <f>IF(ABS(D1417-VLOOKUP($D1417,Sheet1!$M$5:$T$192,8,TRUE))&lt;10^-10,"SoCA",D1417-VLOOKUP($D1417,Sheet1!$M$5:$T$192,8,TRUE))</f>
        <v>2.2617353945634022E-2</v>
      </c>
      <c r="U1417" s="109">
        <f>IF(VLOOKUP($D1417,Sheet1!$M$5:$U$192,9,TRUE)=0,"",IF(ABS(D1417-VLOOKUP($D1417,Sheet1!$M$5:$U$192,9,TRUE))&lt;10^-10,"Alt.",D1417-VLOOKUP($D1417,Sheet1!$M$5:$U$192,9,TRUE)))</f>
        <v>3.6669521340087385E-2</v>
      </c>
      <c r="V1417" s="132">
        <f>$D1417-Sheet1!$M$3*$R1417</f>
        <v>-4.4942532617817221E-2</v>
      </c>
      <c r="Z1417" s="6"/>
      <c r="AA1417" s="61"/>
    </row>
    <row r="1418" spans="1:27" ht="13.5">
      <c r="A1418" t="s">
        <v>675</v>
      </c>
      <c r="B1418">
        <v>60416</v>
      </c>
      <c r="C1418">
        <v>61965</v>
      </c>
      <c r="D1418" s="13">
        <f t="shared" si="29"/>
        <v>43.827469323356993</v>
      </c>
      <c r="E1418" s="61" t="s">
        <v>1931</v>
      </c>
      <c r="F1418" s="65">
        <v>98.101476593181374</v>
      </c>
      <c r="G1418" s="6">
        <v>563</v>
      </c>
      <c r="H1418" s="6">
        <v>520</v>
      </c>
      <c r="I1418" s="65">
        <v>3.3013830415969139</v>
      </c>
      <c r="J1418" s="6">
        <f>VLOOKUP($D1418,Sheet1!$A$5:$C$192,3,TRUE)</f>
        <v>8</v>
      </c>
      <c r="K1418" s="42" t="str">
        <f>VLOOKUP($D1418,Sheet1!$A$5:$C$192,2,TRUE)</f>
        <v>//|</v>
      </c>
      <c r="L1418" s="6">
        <f>FLOOR(VLOOKUP($D1418,Sheet1!$D$5:$F$192,3,TRUE),1)</f>
        <v>18</v>
      </c>
      <c r="M1418" s="42" t="str">
        <f>VLOOKUP($D1418,Sheet1!$D$5:$F$192,2,TRUE)</f>
        <v>//|</v>
      </c>
      <c r="N1418" s="23">
        <f>FLOOR(VLOOKUP($D1418,Sheet1!$G$5:$I$192,3,TRUE),1)</f>
        <v>22</v>
      </c>
      <c r="O1418" s="42" t="str">
        <f>VLOOKUP($D1418,Sheet1!$G$5:$I$192,2,TRUE)</f>
        <v>//|</v>
      </c>
      <c r="P1418" s="23">
        <v>1</v>
      </c>
      <c r="Q1418" s="43" t="str">
        <f>VLOOKUP($D1418,Sheet1!$J$5:$L$192,2,TRUE)</f>
        <v>//|''</v>
      </c>
      <c r="R1418" s="23">
        <f>FLOOR(VLOOKUP($D1418,Sheet1!$M$5:$O$192,3,TRUE),1)</f>
        <v>90</v>
      </c>
      <c r="S1418" s="42" t="str">
        <f>VLOOKUP($D1418,Sheet1!$M$5:$O$192,2,TRUE)</f>
        <v>//|''</v>
      </c>
      <c r="T1418" s="117">
        <f>IF(ABS(D1418-VLOOKUP($D1418,Sheet1!$M$5:$T$192,8,TRUE))&lt;10^-10,"SoCA",D1418-VLOOKUP($D1418,Sheet1!$M$5:$T$192,8,TRUE))</f>
        <v>-1.7634074174289083E-2</v>
      </c>
      <c r="U1418" s="109">
        <f>IF(VLOOKUP($D1418,Sheet1!$M$5:$U$192,9,TRUE)=0,"",IF(ABS(D1418-VLOOKUP($D1418,Sheet1!$M$5:$U$192,9,TRUE))&lt;10^-10,"Alt.",D1418-VLOOKUP($D1418,Sheet1!$M$5:$U$192,9,TRUE)))</f>
        <v>-3.5819067798357196E-3</v>
      </c>
      <c r="V1418" s="132">
        <f>$D1418-Sheet1!$M$3*$R1418</f>
        <v>-8.5193960737740326E-2</v>
      </c>
      <c r="Z1418" s="6"/>
      <c r="AA1418" s="61"/>
    </row>
    <row r="1419" spans="1:27" ht="13.5">
      <c r="A1419" t="s">
        <v>1588</v>
      </c>
      <c r="B1419">
        <v>746496</v>
      </c>
      <c r="C1419">
        <v>765625</v>
      </c>
      <c r="D1419" s="13">
        <f t="shared" si="29"/>
        <v>43.804090934934095</v>
      </c>
      <c r="E1419" s="61">
        <v>7</v>
      </c>
      <c r="F1419" s="65">
        <v>119.46617276268415</v>
      </c>
      <c r="G1419" s="6">
        <v>1495</v>
      </c>
      <c r="H1419" s="6">
        <v>1437</v>
      </c>
      <c r="I1419" s="65">
        <v>-8.6971774658557823</v>
      </c>
      <c r="J1419" s="6">
        <f>VLOOKUP($D1419,Sheet1!$A$5:$C$192,3,TRUE)</f>
        <v>8</v>
      </c>
      <c r="K1419" s="42" t="str">
        <f>VLOOKUP($D1419,Sheet1!$A$5:$C$192,2,TRUE)</f>
        <v>//|</v>
      </c>
      <c r="L1419" s="6">
        <f>FLOOR(VLOOKUP($D1419,Sheet1!$D$5:$F$192,3,TRUE),1)</f>
        <v>18</v>
      </c>
      <c r="M1419" s="42" t="str">
        <f>VLOOKUP($D1419,Sheet1!$D$5:$F$192,2,TRUE)</f>
        <v>//|</v>
      </c>
      <c r="N1419" s="23">
        <f>FLOOR(VLOOKUP($D1419,Sheet1!$G$5:$I$192,3,TRUE),1)</f>
        <v>22</v>
      </c>
      <c r="O1419" s="42" t="str">
        <f>VLOOKUP($D1419,Sheet1!$G$5:$I$192,2,TRUE)</f>
        <v>//|</v>
      </c>
      <c r="P1419" s="23">
        <v>1</v>
      </c>
      <c r="Q1419" s="43" t="str">
        <f>VLOOKUP($D1419,Sheet1!$J$5:$L$192,2,TRUE)</f>
        <v>//|''</v>
      </c>
      <c r="R1419" s="23">
        <f>FLOOR(VLOOKUP($D1419,Sheet1!$M$5:$O$192,3,TRUE),1)</f>
        <v>90</v>
      </c>
      <c r="S1419" s="42" t="str">
        <f>VLOOKUP($D1419,Sheet1!$M$5:$O$192,2,TRUE)</f>
        <v>//|''</v>
      </c>
      <c r="T1419" s="117">
        <f>IF(ABS(D1419-VLOOKUP($D1419,Sheet1!$M$5:$T$192,8,TRUE))&lt;10^-10,"SoCA",D1419-VLOOKUP($D1419,Sheet1!$M$5:$T$192,8,TRUE))</f>
        <v>-4.1012462597187493E-2</v>
      </c>
      <c r="U1419" s="109">
        <f>IF(VLOOKUP($D1419,Sheet1!$M$5:$U$192,9,TRUE)=0,"",IF(ABS(D1419-VLOOKUP($D1419,Sheet1!$M$5:$U$192,9,TRUE))&lt;10^-10,"Alt.",D1419-VLOOKUP($D1419,Sheet1!$M$5:$U$192,9,TRUE)))</f>
        <v>-2.696029520273413E-2</v>
      </c>
      <c r="V1419" s="132">
        <f>$D1419-Sheet1!$M$3*$R1419</f>
        <v>-0.10857234916063874</v>
      </c>
      <c r="Z1419" s="6"/>
      <c r="AA1419" s="61"/>
    </row>
    <row r="1420" spans="1:27" ht="13.5">
      <c r="A1420" t="s">
        <v>1525</v>
      </c>
      <c r="B1420">
        <v>22282240</v>
      </c>
      <c r="C1420">
        <v>22851963</v>
      </c>
      <c r="D1420" s="13">
        <f t="shared" si="29"/>
        <v>43.70859266192425</v>
      </c>
      <c r="E1420" s="61">
        <v>43</v>
      </c>
      <c r="F1420" s="65">
        <v>132.93575607840268</v>
      </c>
      <c r="G1420" s="6">
        <v>1301</v>
      </c>
      <c r="H1420" s="6">
        <v>1374</v>
      </c>
      <c r="I1420" s="65">
        <v>9.3087027107325859</v>
      </c>
      <c r="J1420" s="6">
        <f>VLOOKUP($D1420,Sheet1!$A$5:$C$192,3,TRUE)</f>
        <v>8</v>
      </c>
      <c r="K1420" s="42" t="str">
        <f>VLOOKUP($D1420,Sheet1!$A$5:$C$192,2,TRUE)</f>
        <v>//|</v>
      </c>
      <c r="L1420" s="6">
        <f>FLOOR(VLOOKUP($D1420,Sheet1!$D$5:$F$192,3,TRUE),1)</f>
        <v>18</v>
      </c>
      <c r="M1420" s="42" t="str">
        <f>VLOOKUP($D1420,Sheet1!$D$5:$F$192,2,TRUE)</f>
        <v>//|</v>
      </c>
      <c r="N1420" s="23">
        <f>FLOOR(VLOOKUP($D1420,Sheet1!$G$5:$I$192,3,TRUE),1)</f>
        <v>22</v>
      </c>
      <c r="O1420" s="42" t="str">
        <f>VLOOKUP($D1420,Sheet1!$G$5:$I$192,2,TRUE)</f>
        <v>//|</v>
      </c>
      <c r="P1420" s="23">
        <v>1</v>
      </c>
      <c r="Q1420" s="43" t="str">
        <f>VLOOKUP($D1420,Sheet1!$J$5:$L$192,2,TRUE)</f>
        <v>//|''</v>
      </c>
      <c r="R1420" s="23">
        <f>FLOOR(VLOOKUP($D1420,Sheet1!$M$5:$O$192,3,TRUE),1)</f>
        <v>90</v>
      </c>
      <c r="S1420" s="42" t="str">
        <f>VLOOKUP($D1420,Sheet1!$M$5:$O$192,2,TRUE)</f>
        <v>//|''</v>
      </c>
      <c r="T1420" s="117">
        <f>IF(ABS(D1420-VLOOKUP($D1420,Sheet1!$M$5:$T$192,8,TRUE))&lt;10^-10,"SoCA",D1420-VLOOKUP($D1420,Sheet1!$M$5:$T$192,8,TRUE))</f>
        <v>-0.13651073560703253</v>
      </c>
      <c r="U1420" s="109">
        <f>IF(VLOOKUP($D1420,Sheet1!$M$5:$U$192,9,TRUE)=0,"",IF(ABS(D1420-VLOOKUP($D1420,Sheet1!$M$5:$U$192,9,TRUE))&lt;10^-10,"Alt.",D1420-VLOOKUP($D1420,Sheet1!$M$5:$U$192,9,TRUE)))</f>
        <v>-0.12245856821257917</v>
      </c>
      <c r="V1420" s="132">
        <f>$D1420-Sheet1!$M$3*$R1420</f>
        <v>-0.20407062217048377</v>
      </c>
      <c r="Z1420" s="6"/>
      <c r="AA1420" s="61"/>
    </row>
    <row r="1421" spans="1:27" ht="13.5">
      <c r="A1421" t="s">
        <v>1388</v>
      </c>
      <c r="B1421">
        <v>12231</v>
      </c>
      <c r="C1421">
        <v>12544</v>
      </c>
      <c r="D1421" s="13">
        <f t="shared" si="29"/>
        <v>43.746122286605335</v>
      </c>
      <c r="E1421" s="61" t="s">
        <v>1931</v>
      </c>
      <c r="F1421" s="65">
        <v>199.68944590374372</v>
      </c>
      <c r="G1421" s="6">
        <v>1300</v>
      </c>
      <c r="H1421" s="6">
        <v>1237</v>
      </c>
      <c r="I1421" s="65">
        <v>-6.6936081249868966</v>
      </c>
      <c r="J1421" s="6">
        <f>VLOOKUP($D1421,Sheet1!$A$5:$C$192,3,TRUE)</f>
        <v>8</v>
      </c>
      <c r="K1421" s="42" t="str">
        <f>VLOOKUP($D1421,Sheet1!$A$5:$C$192,2,TRUE)</f>
        <v>//|</v>
      </c>
      <c r="L1421" s="6">
        <f>FLOOR(VLOOKUP($D1421,Sheet1!$D$5:$F$192,3,TRUE),1)</f>
        <v>18</v>
      </c>
      <c r="M1421" s="42" t="str">
        <f>VLOOKUP($D1421,Sheet1!$D$5:$F$192,2,TRUE)</f>
        <v>//|</v>
      </c>
      <c r="N1421" s="23">
        <f>FLOOR(VLOOKUP($D1421,Sheet1!$G$5:$I$192,3,TRUE),1)</f>
        <v>22</v>
      </c>
      <c r="O1421" s="42" t="str">
        <f>VLOOKUP($D1421,Sheet1!$G$5:$I$192,2,TRUE)</f>
        <v>//|</v>
      </c>
      <c r="P1421" s="23">
        <v>1</v>
      </c>
      <c r="Q1421" s="43" t="str">
        <f>VLOOKUP($D1421,Sheet1!$J$5:$L$192,2,TRUE)</f>
        <v>//|''</v>
      </c>
      <c r="R1421" s="23">
        <f>FLOOR(VLOOKUP($D1421,Sheet1!$M$5:$O$192,3,TRUE),1)</f>
        <v>90</v>
      </c>
      <c r="S1421" s="42" t="str">
        <f>VLOOKUP($D1421,Sheet1!$M$5:$O$192,2,TRUE)</f>
        <v>//|''</v>
      </c>
      <c r="T1421" s="117">
        <f>IF(ABS(D1421-VLOOKUP($D1421,Sheet1!$M$5:$T$192,8,TRUE))&lt;10^-10,"SoCA",D1421-VLOOKUP($D1421,Sheet1!$M$5:$T$192,8,TRUE))</f>
        <v>-9.8981110925947746E-2</v>
      </c>
      <c r="U1421" s="109">
        <f>IF(VLOOKUP($D1421,Sheet1!$M$5:$U$192,9,TRUE)=0,"",IF(ABS(D1421-VLOOKUP($D1421,Sheet1!$M$5:$U$192,9,TRUE))&lt;10^-10,"Alt.",D1421-VLOOKUP($D1421,Sheet1!$M$5:$U$192,9,TRUE)))</f>
        <v>-8.4928943531494383E-2</v>
      </c>
      <c r="V1421" s="132">
        <f>$D1421-Sheet1!$M$3*$R1421</f>
        <v>-0.16654099748939899</v>
      </c>
      <c r="Z1421" s="6"/>
      <c r="AA1421" s="61"/>
    </row>
    <row r="1422" spans="1:27" ht="13.5">
      <c r="A1422" t="s">
        <v>1294</v>
      </c>
      <c r="B1422">
        <v>5319</v>
      </c>
      <c r="C1422">
        <v>5456</v>
      </c>
      <c r="D1422" s="13">
        <f t="shared" si="29"/>
        <v>44.026328885193195</v>
      </c>
      <c r="E1422" s="61" t="s">
        <v>1931</v>
      </c>
      <c r="F1422" s="65">
        <v>287.71469668475061</v>
      </c>
      <c r="G1422" s="6">
        <v>1203</v>
      </c>
      <c r="H1422" s="6">
        <v>1143</v>
      </c>
      <c r="I1422" s="65">
        <v>-5.7108614661101686</v>
      </c>
      <c r="J1422" s="6">
        <f>VLOOKUP($D1422,Sheet1!$A$5:$C$192,3,TRUE)</f>
        <v>8</v>
      </c>
      <c r="K1422" s="42" t="str">
        <f>VLOOKUP($D1422,Sheet1!$A$5:$C$192,2,TRUE)</f>
        <v>//|</v>
      </c>
      <c r="L1422" s="6">
        <f>FLOOR(VLOOKUP($D1422,Sheet1!$D$5:$F$192,3,TRUE),1)</f>
        <v>18</v>
      </c>
      <c r="M1422" s="42" t="str">
        <f>VLOOKUP($D1422,Sheet1!$D$5:$F$192,2,TRUE)</f>
        <v>//|</v>
      </c>
      <c r="N1422" s="23">
        <f>FLOOR(VLOOKUP($D1422,Sheet1!$G$5:$I$192,3,TRUE),1)</f>
        <v>22</v>
      </c>
      <c r="O1422" s="42" t="str">
        <f>VLOOKUP($D1422,Sheet1!$G$5:$I$192,2,TRUE)</f>
        <v>//|</v>
      </c>
      <c r="P1422" s="23">
        <v>1</v>
      </c>
      <c r="Q1422" s="43" t="str">
        <f>VLOOKUP($D1422,Sheet1!$J$5:$L$192,2,TRUE)</f>
        <v>//|''</v>
      </c>
      <c r="R1422" s="23">
        <f>FLOOR(VLOOKUP($D1422,Sheet1!$M$5:$O$192,3,TRUE),1)</f>
        <v>90</v>
      </c>
      <c r="S1422" s="42" t="str">
        <f>VLOOKUP($D1422,Sheet1!$M$5:$O$192,2,TRUE)</f>
        <v>//|''</v>
      </c>
      <c r="T1422" s="117">
        <f>IF(ABS(D1422-VLOOKUP($D1422,Sheet1!$M$5:$T$192,8,TRUE))&lt;10^-10,"SoCA",D1422-VLOOKUP($D1422,Sheet1!$M$5:$T$192,8,TRUE))</f>
        <v>0.18122548766191215</v>
      </c>
      <c r="U1422" s="109">
        <f>IF(VLOOKUP($D1422,Sheet1!$M$5:$U$192,9,TRUE)=0,"",IF(ABS(D1422-VLOOKUP($D1422,Sheet1!$M$5:$U$192,9,TRUE))&lt;10^-10,"Alt.",D1422-VLOOKUP($D1422,Sheet1!$M$5:$U$192,9,TRUE)))</f>
        <v>0.19527765505636552</v>
      </c>
      <c r="V1422" s="132">
        <f>$D1422-Sheet1!$M$3*$R1422</f>
        <v>0.11366560109846091</v>
      </c>
      <c r="Z1422" s="6"/>
      <c r="AA1422" s="61"/>
    </row>
    <row r="1423" spans="1:27" ht="13.5">
      <c r="A1423" t="s">
        <v>1197</v>
      </c>
      <c r="B1423">
        <v>2367</v>
      </c>
      <c r="C1423">
        <v>2428</v>
      </c>
      <c r="D1423" s="13">
        <f t="shared" si="29"/>
        <v>44.050458625280854</v>
      </c>
      <c r="E1423" s="61" t="s">
        <v>1931</v>
      </c>
      <c r="F1423" s="65">
        <v>870.5650851377161</v>
      </c>
      <c r="G1423" s="6">
        <v>1104</v>
      </c>
      <c r="H1423" s="6">
        <v>1046</v>
      </c>
      <c r="I1423" s="65">
        <v>-4.7123472221167955</v>
      </c>
      <c r="J1423" s="6">
        <f>VLOOKUP($D1423,Sheet1!$A$5:$C$192,3,TRUE)</f>
        <v>8</v>
      </c>
      <c r="K1423" s="42" t="str">
        <f>VLOOKUP($D1423,Sheet1!$A$5:$C$192,2,TRUE)</f>
        <v>//|</v>
      </c>
      <c r="L1423" s="6">
        <f>FLOOR(VLOOKUP($D1423,Sheet1!$D$5:$F$192,3,TRUE),1)</f>
        <v>18</v>
      </c>
      <c r="M1423" s="42" t="str">
        <f>VLOOKUP($D1423,Sheet1!$D$5:$F$192,2,TRUE)</f>
        <v>//|</v>
      </c>
      <c r="N1423" s="23">
        <f>FLOOR(VLOOKUP($D1423,Sheet1!$G$5:$I$192,3,TRUE),1)</f>
        <v>22</v>
      </c>
      <c r="O1423" s="42" t="str">
        <f>VLOOKUP($D1423,Sheet1!$G$5:$I$192,2,TRUE)</f>
        <v>//|</v>
      </c>
      <c r="P1423" s="23">
        <v>1</v>
      </c>
      <c r="Q1423" s="43" t="str">
        <f>VLOOKUP($D1423,Sheet1!$J$5:$L$192,2,TRUE)</f>
        <v>//|''</v>
      </c>
      <c r="R1423" s="23">
        <f>FLOOR(VLOOKUP($D1423,Sheet1!$M$5:$O$192,3,TRUE),1)</f>
        <v>90</v>
      </c>
      <c r="S1423" s="42" t="str">
        <f>VLOOKUP($D1423,Sheet1!$M$5:$O$192,2,TRUE)</f>
        <v>//|''</v>
      </c>
      <c r="T1423" s="117">
        <f>IF(ABS(D1423-VLOOKUP($D1423,Sheet1!$M$5:$T$192,8,TRUE))&lt;10^-10,"SoCA",D1423-VLOOKUP($D1423,Sheet1!$M$5:$T$192,8,TRUE))</f>
        <v>0.20535522774957116</v>
      </c>
      <c r="U1423" s="109">
        <f>IF(VLOOKUP($D1423,Sheet1!$M$5:$U$192,9,TRUE)=0,"",IF(ABS(D1423-VLOOKUP($D1423,Sheet1!$M$5:$U$192,9,TRUE))&lt;10^-10,"Alt.",D1423-VLOOKUP($D1423,Sheet1!$M$5:$U$192,9,TRUE)))</f>
        <v>0.21940739514402452</v>
      </c>
      <c r="V1423" s="132">
        <f>$D1423-Sheet1!$M$3*$R1423</f>
        <v>0.13779534118611991</v>
      </c>
      <c r="Z1423" s="6"/>
      <c r="AA1423" s="61"/>
    </row>
    <row r="1424" spans="1:27" ht="13.5">
      <c r="A1424" s="38" t="s">
        <v>674</v>
      </c>
      <c r="B1424" s="38">
        <f>2^11*17</f>
        <v>34816</v>
      </c>
      <c r="C1424" s="38">
        <f>3^6*7^2</f>
        <v>35721</v>
      </c>
      <c r="D1424" s="13">
        <f t="shared" si="29"/>
        <v>44.426408630166897</v>
      </c>
      <c r="E1424" s="61">
        <v>17</v>
      </c>
      <c r="F1424" s="65">
        <v>37.910910712226659</v>
      </c>
      <c r="G1424" s="6">
        <v>562</v>
      </c>
      <c r="H1424" s="6">
        <v>519</v>
      </c>
      <c r="I1424" s="65">
        <v>3.2645041664219332</v>
      </c>
      <c r="J1424" s="6">
        <f>VLOOKUP($D1424,Sheet1!$A$5:$C$192,3,TRUE)</f>
        <v>8</v>
      </c>
      <c r="K1424" s="42" t="str">
        <f>VLOOKUP($D1424,Sheet1!$A$5:$C$192,2,TRUE)</f>
        <v>//|</v>
      </c>
      <c r="L1424" s="6">
        <f>FLOOR(VLOOKUP($D1424,Sheet1!$D$5:$F$192,3,TRUE),1)</f>
        <v>18</v>
      </c>
      <c r="M1424" s="42" t="str">
        <f>VLOOKUP($D1424,Sheet1!$D$5:$F$192,2,TRUE)</f>
        <v>//|</v>
      </c>
      <c r="N1424" s="23">
        <f>FLOOR(VLOOKUP($D1424,Sheet1!$G$5:$I$192,3,TRUE),1)</f>
        <v>23</v>
      </c>
      <c r="O1424" s="42" t="str">
        <f>VLOOKUP($D1424,Sheet1!$G$5:$I$192,2,TRUE)</f>
        <v>'//|</v>
      </c>
      <c r="P1424" s="23">
        <v>1</v>
      </c>
      <c r="Q1424" s="45" t="str">
        <f>VLOOKUP($D1424,Sheet1!$J$5:$L$192,2,TRUE)</f>
        <v>'//|.</v>
      </c>
      <c r="R1424" s="38">
        <f>FLOOR(VLOOKUP($D1424,Sheet1!$M$5:$O$192,3,TRUE),1)</f>
        <v>91</v>
      </c>
      <c r="S1424" s="45" t="str">
        <f>VLOOKUP($D1424,Sheet1!$M$5:$O$192,2,TRUE)</f>
        <v>'//|.</v>
      </c>
      <c r="T1424" s="108">
        <f>IF(ABS(D1424-VLOOKUP($D1424,Sheet1!$M$5:$T$192,8,TRUE))&lt;10^-10,"SoCA",D1424-VLOOKUP($D1424,Sheet1!$M$5:$T$192,8,TRUE))</f>
        <v>-0.11717518524212522</v>
      </c>
      <c r="U1424" s="108">
        <f>IF(VLOOKUP($D1424,Sheet1!$M$5:$U$192,9,TRUE)=0,"",IF(ABS(D1424-VLOOKUP($D1424,Sheet1!$M$5:$U$192,9,TRUE))&lt;10^-10,"Alt.",D1424-VLOOKUP($D1424,Sheet1!$M$5:$U$192,9,TRUE)))</f>
        <v>-0.14413548044456093</v>
      </c>
      <c r="V1424" s="133">
        <f>$D1424-Sheet1!$M$3*$R1424</f>
        <v>2.5826865137773325E-2</v>
      </c>
      <c r="Z1424" s="6"/>
      <c r="AA1424" s="61"/>
    </row>
    <row r="1425" spans="1:27" ht="13.5">
      <c r="A1425" s="23" t="s">
        <v>177</v>
      </c>
      <c r="B1425" s="23">
        <f>3^6</f>
        <v>729</v>
      </c>
      <c r="C1425" s="23">
        <f>2^2*11*17</f>
        <v>748</v>
      </c>
      <c r="D1425" s="13">
        <f t="shared" si="29"/>
        <v>44.543346672839604</v>
      </c>
      <c r="E1425" s="61">
        <v>17</v>
      </c>
      <c r="F1425" s="65">
        <v>43.825555248718416</v>
      </c>
      <c r="G1425" s="6">
        <v>627</v>
      </c>
      <c r="H1425" s="6">
        <v>903</v>
      </c>
      <c r="I1425" s="65">
        <v>-8.7426961348939098</v>
      </c>
      <c r="J1425" s="6">
        <f>VLOOKUP($D1425,Sheet1!$A$5:$C$192,3,TRUE)</f>
        <v>8</v>
      </c>
      <c r="K1425" s="42" t="str">
        <f>VLOOKUP($D1425,Sheet1!$A$5:$C$192,2,TRUE)</f>
        <v>//|</v>
      </c>
      <c r="L1425" s="6">
        <f>FLOOR(VLOOKUP($D1425,Sheet1!$D$5:$F$192,3,TRUE),1)</f>
        <v>18</v>
      </c>
      <c r="M1425" s="42" t="str">
        <f>VLOOKUP($D1425,Sheet1!$D$5:$F$192,2,TRUE)</f>
        <v>//|</v>
      </c>
      <c r="N1425" s="23">
        <f>FLOOR(VLOOKUP($D1425,Sheet1!$G$5:$I$192,3,TRUE),1)</f>
        <v>23</v>
      </c>
      <c r="O1425" s="42" t="str">
        <f>VLOOKUP($D1425,Sheet1!$G$5:$I$192,2,TRUE)</f>
        <v>'//|</v>
      </c>
      <c r="P1425" s="23">
        <v>1</v>
      </c>
      <c r="Q1425" s="43" t="str">
        <f>VLOOKUP($D1425,Sheet1!$J$5:$L$192,2,TRUE)</f>
        <v>'//|.</v>
      </c>
      <c r="R1425" s="23">
        <f>FLOOR(VLOOKUP($D1425,Sheet1!$M$5:$O$192,3,TRUE),1)</f>
        <v>91</v>
      </c>
      <c r="S1425" s="43" t="str">
        <f>VLOOKUP($D1425,Sheet1!$M$5:$O$192,2,TRUE)</f>
        <v>'//|.</v>
      </c>
      <c r="T1425" s="117">
        <f>IF(ABS(D1425-VLOOKUP($D1425,Sheet1!$M$5:$T$192,8,TRUE))&lt;10^-10,"SoCA",D1425-VLOOKUP($D1425,Sheet1!$M$5:$T$192,8,TRUE))</f>
        <v>-2.3714256941786971E-4</v>
      </c>
      <c r="U1425" s="117">
        <f>IF(VLOOKUP($D1425,Sheet1!$M$5:$U$192,9,TRUE)=0,"",IF(ABS(D1425-VLOOKUP($D1425,Sheet1!$M$5:$U$192,9,TRUE))&lt;10^-10,"Alt.",D1425-VLOOKUP($D1425,Sheet1!$M$5:$U$192,9,TRUE)))</f>
        <v>-2.7197437771853572E-2</v>
      </c>
      <c r="V1425" s="132">
        <f>$D1425-Sheet1!$M$3*$R1425</f>
        <v>0.14276490781048068</v>
      </c>
      <c r="Z1425" s="6"/>
      <c r="AA1425" s="61"/>
    </row>
    <row r="1426" spans="1:27" ht="13.5">
      <c r="A1426" s="6" t="s">
        <v>1821</v>
      </c>
      <c r="B1426" s="6">
        <f>3^5*5*23</f>
        <v>27945</v>
      </c>
      <c r="C1426" s="6">
        <f>2^12*7</f>
        <v>28672</v>
      </c>
      <c r="D1426" s="13">
        <f t="shared" si="29"/>
        <v>44.462841008937673</v>
      </c>
      <c r="E1426" s="61">
        <v>23</v>
      </c>
      <c r="F1426" s="65">
        <v>44.448057972964591</v>
      </c>
      <c r="G1426" s="59">
        <v>1401</v>
      </c>
      <c r="H1426" s="63">
        <v>1000026</v>
      </c>
      <c r="I1426" s="65">
        <v>-7.7377391078693663</v>
      </c>
      <c r="J1426" s="6">
        <f>VLOOKUP($D1426,Sheet1!$A$5:$C$192,3,TRUE)</f>
        <v>8</v>
      </c>
      <c r="K1426" s="42" t="str">
        <f>VLOOKUP($D1426,Sheet1!$A$5:$C$192,2,TRUE)</f>
        <v>//|</v>
      </c>
      <c r="L1426" s="6">
        <f>FLOOR(VLOOKUP($D1426,Sheet1!$D$5:$F$192,3,TRUE),1)</f>
        <v>18</v>
      </c>
      <c r="M1426" s="42" t="str">
        <f>VLOOKUP($D1426,Sheet1!$D$5:$F$192,2,TRUE)</f>
        <v>//|</v>
      </c>
      <c r="N1426" s="23">
        <f>FLOOR(VLOOKUP($D1426,Sheet1!$G$5:$I$192,3,TRUE),1)</f>
        <v>23</v>
      </c>
      <c r="O1426" s="42" t="str">
        <f>VLOOKUP($D1426,Sheet1!$G$5:$I$192,2,TRUE)</f>
        <v>'//|</v>
      </c>
      <c r="P1426" s="23">
        <v>1</v>
      </c>
      <c r="Q1426" s="43" t="str">
        <f>VLOOKUP($D1426,Sheet1!$J$5:$L$192,2,TRUE)</f>
        <v>'//|.</v>
      </c>
      <c r="R1426" s="23">
        <f>FLOOR(VLOOKUP($D1426,Sheet1!$M$5:$O$192,3,TRUE),1)</f>
        <v>91</v>
      </c>
      <c r="S1426" s="42" t="str">
        <f>VLOOKUP($D1426,Sheet1!$M$5:$O$192,2,TRUE)</f>
        <v>'//|.</v>
      </c>
      <c r="T1426" s="124">
        <f>IF(ABS(D1426-VLOOKUP($D1426,Sheet1!$M$5:$T$192,8,TRUE))&lt;10^-10,"SoCA",D1426-VLOOKUP($D1426,Sheet1!$M$5:$T$192,8,TRUE))</f>
        <v>-8.0742806471349127E-2</v>
      </c>
      <c r="U1426" s="109">
        <f>IF(VLOOKUP($D1426,Sheet1!$M$5:$U$192,9,TRUE)=0,"",IF(ABS(D1426-VLOOKUP($D1426,Sheet1!$M$5:$U$192,9,TRUE))&lt;10^-10,"Alt.",D1426-VLOOKUP($D1426,Sheet1!$M$5:$U$192,9,TRUE)))</f>
        <v>-0.10770310167378483</v>
      </c>
      <c r="V1426" s="132">
        <f>$D1426-Sheet1!$M$3*$R1426</f>
        <v>6.2259243908549422E-2</v>
      </c>
      <c r="Z1426" s="6"/>
      <c r="AA1426" s="61"/>
    </row>
    <row r="1427" spans="1:27" ht="13.5">
      <c r="A1427" s="6" t="s">
        <v>792</v>
      </c>
      <c r="B1427" s="6">
        <f>2^7*7^2</f>
        <v>6272</v>
      </c>
      <c r="C1427" s="6">
        <f>3^2*5*11*13</f>
        <v>6435</v>
      </c>
      <c r="D1427" s="13">
        <f t="shared" si="29"/>
        <v>44.417506791427243</v>
      </c>
      <c r="E1427" s="61">
        <v>13</v>
      </c>
      <c r="F1427" s="65">
        <v>51.65955778050926</v>
      </c>
      <c r="G1427" s="6">
        <v>739</v>
      </c>
      <c r="H1427" s="6">
        <v>638</v>
      </c>
      <c r="I1427" s="65">
        <v>-0.73494771493570221</v>
      </c>
      <c r="J1427" s="6">
        <f>VLOOKUP($D1427,Sheet1!$A$5:$C$192,3,TRUE)</f>
        <v>8</v>
      </c>
      <c r="K1427" s="42" t="str">
        <f>VLOOKUP($D1427,Sheet1!$A$5:$C$192,2,TRUE)</f>
        <v>//|</v>
      </c>
      <c r="L1427" s="6">
        <f>FLOOR(VLOOKUP($D1427,Sheet1!$D$5:$F$192,3,TRUE),1)</f>
        <v>18</v>
      </c>
      <c r="M1427" s="42" t="str">
        <f>VLOOKUP($D1427,Sheet1!$D$5:$F$192,2,TRUE)</f>
        <v>//|</v>
      </c>
      <c r="N1427" s="23">
        <f>FLOOR(VLOOKUP($D1427,Sheet1!$G$5:$I$192,3,TRUE),1)</f>
        <v>23</v>
      </c>
      <c r="O1427" s="42" t="str">
        <f>VLOOKUP($D1427,Sheet1!$G$5:$I$192,2,TRUE)</f>
        <v>'//|</v>
      </c>
      <c r="P1427" s="23">
        <v>1</v>
      </c>
      <c r="Q1427" s="43" t="str">
        <f>VLOOKUP($D1427,Sheet1!$J$5:$L$192,2,TRUE)</f>
        <v>'//|.</v>
      </c>
      <c r="R1427" s="23">
        <f>FLOOR(VLOOKUP($D1427,Sheet1!$M$5:$O$192,3,TRUE),1)</f>
        <v>91</v>
      </c>
      <c r="S1427" s="42" t="str">
        <f>VLOOKUP($D1427,Sheet1!$M$5:$O$192,2,TRUE)</f>
        <v>'//|.</v>
      </c>
      <c r="T1427" s="117">
        <f>IF(ABS(D1427-VLOOKUP($D1427,Sheet1!$M$5:$T$192,8,TRUE))&lt;10^-10,"SoCA",D1427-VLOOKUP($D1427,Sheet1!$M$5:$T$192,8,TRUE))</f>
        <v>-0.12607702398177878</v>
      </c>
      <c r="U1427" s="109">
        <f>IF(VLOOKUP($D1427,Sheet1!$M$5:$U$192,9,TRUE)=0,"",IF(ABS(D1427-VLOOKUP($D1427,Sheet1!$M$5:$U$192,9,TRUE))&lt;10^-10,"Alt.",D1427-VLOOKUP($D1427,Sheet1!$M$5:$U$192,9,TRUE)))</f>
        <v>-0.15303731918421448</v>
      </c>
      <c r="V1427" s="132">
        <f>$D1427-Sheet1!$M$3*$R1427</f>
        <v>1.6925026398119769E-2</v>
      </c>
      <c r="Z1427" s="6"/>
      <c r="AA1427" s="61"/>
    </row>
    <row r="1428" spans="1:27" ht="13.5">
      <c r="A1428" t="s">
        <v>1297</v>
      </c>
      <c r="B1428">
        <v>31941</v>
      </c>
      <c r="C1428">
        <v>32768</v>
      </c>
      <c r="D1428" s="13">
        <f t="shared" si="29"/>
        <v>44.253767396091611</v>
      </c>
      <c r="E1428" s="61">
        <v>13</v>
      </c>
      <c r="F1428" s="65">
        <v>53.397940718954295</v>
      </c>
      <c r="G1428" s="6">
        <v>1206</v>
      </c>
      <c r="H1428" s="6">
        <v>1146</v>
      </c>
      <c r="I1428" s="65">
        <v>-5.7248656838297922</v>
      </c>
      <c r="J1428" s="6">
        <f>VLOOKUP($D1428,Sheet1!$A$5:$C$192,3,TRUE)</f>
        <v>8</v>
      </c>
      <c r="K1428" s="42" t="str">
        <f>VLOOKUP($D1428,Sheet1!$A$5:$C$192,2,TRUE)</f>
        <v>//|</v>
      </c>
      <c r="L1428" s="6">
        <f>FLOOR(VLOOKUP($D1428,Sheet1!$D$5:$F$192,3,TRUE),1)</f>
        <v>18</v>
      </c>
      <c r="M1428" s="42" t="str">
        <f>VLOOKUP($D1428,Sheet1!$D$5:$F$192,2,TRUE)</f>
        <v>//|</v>
      </c>
      <c r="N1428" s="23">
        <f>FLOOR(VLOOKUP($D1428,Sheet1!$G$5:$I$192,3,TRUE),1)</f>
        <v>23</v>
      </c>
      <c r="O1428" s="42" t="str">
        <f>VLOOKUP($D1428,Sheet1!$G$5:$I$192,2,TRUE)</f>
        <v>'//|</v>
      </c>
      <c r="P1428" s="23">
        <v>1</v>
      </c>
      <c r="Q1428" s="43" t="str">
        <f>VLOOKUP($D1428,Sheet1!$J$5:$L$192,2,TRUE)</f>
        <v>'//|.</v>
      </c>
      <c r="R1428" s="23">
        <f>FLOOR(VLOOKUP($D1428,Sheet1!$M$5:$O$192,3,TRUE),1)</f>
        <v>91</v>
      </c>
      <c r="S1428" s="42" t="str">
        <f>VLOOKUP($D1428,Sheet1!$M$5:$O$192,2,TRUE)</f>
        <v>'//|.</v>
      </c>
      <c r="T1428" s="117">
        <f>IF(ABS(D1428-VLOOKUP($D1428,Sheet1!$M$5:$T$192,8,TRUE))&lt;10^-10,"SoCA",D1428-VLOOKUP($D1428,Sheet1!$M$5:$T$192,8,TRUE))</f>
        <v>-0.28981641931741109</v>
      </c>
      <c r="U1428" s="109">
        <f>IF(VLOOKUP($D1428,Sheet1!$M$5:$U$192,9,TRUE)=0,"",IF(ABS(D1428-VLOOKUP($D1428,Sheet1!$M$5:$U$192,9,TRUE))&lt;10^-10,"Alt.",D1428-VLOOKUP($D1428,Sheet1!$M$5:$U$192,9,TRUE)))</f>
        <v>-0.31677671451984679</v>
      </c>
      <c r="V1428" s="132">
        <f>$D1428-Sheet1!$M$3*$R1428</f>
        <v>-0.14681436893751254</v>
      </c>
      <c r="Z1428" s="6"/>
      <c r="AA1428" s="61"/>
    </row>
    <row r="1429" spans="1:27" ht="13.5">
      <c r="A1429" t="s">
        <v>1488</v>
      </c>
      <c r="B1429">
        <v>6075</v>
      </c>
      <c r="C1429">
        <v>6232</v>
      </c>
      <c r="D1429" s="13">
        <f t="shared" si="29"/>
        <v>44.172989617396489</v>
      </c>
      <c r="E1429" s="61">
        <v>41</v>
      </c>
      <c r="F1429" s="65">
        <v>72.868409177287845</v>
      </c>
      <c r="G1429" s="6">
        <v>1398</v>
      </c>
      <c r="H1429" s="6">
        <v>1337</v>
      </c>
      <c r="I1429" s="65">
        <v>-7.7198919017060632</v>
      </c>
      <c r="J1429" s="6">
        <f>VLOOKUP($D1429,Sheet1!$A$5:$C$192,3,TRUE)</f>
        <v>8</v>
      </c>
      <c r="K1429" s="42" t="str">
        <f>VLOOKUP($D1429,Sheet1!$A$5:$C$192,2,TRUE)</f>
        <v>//|</v>
      </c>
      <c r="L1429" s="6">
        <f>FLOOR(VLOOKUP($D1429,Sheet1!$D$5:$F$192,3,TRUE),1)</f>
        <v>18</v>
      </c>
      <c r="M1429" s="42" t="str">
        <f>VLOOKUP($D1429,Sheet1!$D$5:$F$192,2,TRUE)</f>
        <v>//|</v>
      </c>
      <c r="N1429" s="23">
        <f>FLOOR(VLOOKUP($D1429,Sheet1!$G$5:$I$192,3,TRUE),1)</f>
        <v>23</v>
      </c>
      <c r="O1429" s="42" t="str">
        <f>VLOOKUP($D1429,Sheet1!$G$5:$I$192,2,TRUE)</f>
        <v>'//|</v>
      </c>
      <c r="P1429" s="23">
        <v>1</v>
      </c>
      <c r="Q1429" s="43" t="str">
        <f>VLOOKUP($D1429,Sheet1!$J$5:$L$192,2,TRUE)</f>
        <v>'//|.</v>
      </c>
      <c r="R1429" s="23">
        <f>FLOOR(VLOOKUP($D1429,Sheet1!$M$5:$O$192,3,TRUE),1)</f>
        <v>91</v>
      </c>
      <c r="S1429" s="42" t="str">
        <f>VLOOKUP($D1429,Sheet1!$M$5:$O$192,2,TRUE)</f>
        <v>'//|.</v>
      </c>
      <c r="T1429" s="117">
        <f>IF(ABS(D1429-VLOOKUP($D1429,Sheet1!$M$5:$T$192,8,TRUE))&lt;10^-10,"SoCA",D1429-VLOOKUP($D1429,Sheet1!$M$5:$T$192,8,TRUE))</f>
        <v>-0.37059419801253313</v>
      </c>
      <c r="U1429" s="109">
        <f>IF(VLOOKUP($D1429,Sheet1!$M$5:$U$192,9,TRUE)=0,"",IF(ABS(D1429-VLOOKUP($D1429,Sheet1!$M$5:$U$192,9,TRUE))&lt;10^-10,"Alt.",D1429-VLOOKUP($D1429,Sheet1!$M$5:$U$192,9,TRUE)))</f>
        <v>-0.39755449321496883</v>
      </c>
      <c r="V1429" s="132">
        <f>$D1429-Sheet1!$M$3*$R1429</f>
        <v>-0.22759214763263458</v>
      </c>
      <c r="Z1429" s="6"/>
      <c r="AA1429" s="61"/>
    </row>
    <row r="1430" spans="1:27" ht="13.5">
      <c r="A1430" t="s">
        <v>1053</v>
      </c>
      <c r="B1430">
        <v>3553</v>
      </c>
      <c r="C1430">
        <v>3645</v>
      </c>
      <c r="D1430" s="13">
        <f t="shared" si="29"/>
        <v>44.25735105969283</v>
      </c>
      <c r="E1430" s="61">
        <v>19</v>
      </c>
      <c r="F1430" s="65">
        <v>73.61180787527509</v>
      </c>
      <c r="G1430" s="6">
        <v>967</v>
      </c>
      <c r="H1430" s="6">
        <v>901</v>
      </c>
      <c r="I1430" s="65">
        <v>3.2749136569462838</v>
      </c>
      <c r="J1430" s="6">
        <f>VLOOKUP($D1430,Sheet1!$A$5:$C$192,3,TRUE)</f>
        <v>8</v>
      </c>
      <c r="K1430" s="42" t="str">
        <f>VLOOKUP($D1430,Sheet1!$A$5:$C$192,2,TRUE)</f>
        <v>//|</v>
      </c>
      <c r="L1430" s="6">
        <f>FLOOR(VLOOKUP($D1430,Sheet1!$D$5:$F$192,3,TRUE),1)</f>
        <v>18</v>
      </c>
      <c r="M1430" s="42" t="str">
        <f>VLOOKUP($D1430,Sheet1!$D$5:$F$192,2,TRUE)</f>
        <v>//|</v>
      </c>
      <c r="N1430" s="23">
        <f>FLOOR(VLOOKUP($D1430,Sheet1!$G$5:$I$192,3,TRUE),1)</f>
        <v>23</v>
      </c>
      <c r="O1430" s="42" t="str">
        <f>VLOOKUP($D1430,Sheet1!$G$5:$I$192,2,TRUE)</f>
        <v>'//|</v>
      </c>
      <c r="P1430" s="23">
        <v>1</v>
      </c>
      <c r="Q1430" s="43" t="str">
        <f>VLOOKUP($D1430,Sheet1!$J$5:$L$192,2,TRUE)</f>
        <v>'//|.</v>
      </c>
      <c r="R1430" s="23">
        <f>FLOOR(VLOOKUP($D1430,Sheet1!$M$5:$O$192,3,TRUE),1)</f>
        <v>91</v>
      </c>
      <c r="S1430" s="42" t="str">
        <f>VLOOKUP($D1430,Sheet1!$M$5:$O$192,2,TRUE)</f>
        <v>'//|.</v>
      </c>
      <c r="T1430" s="117">
        <f>IF(ABS(D1430-VLOOKUP($D1430,Sheet1!$M$5:$T$192,8,TRUE))&lt;10^-10,"SoCA",D1430-VLOOKUP($D1430,Sheet1!$M$5:$T$192,8,TRUE))</f>
        <v>-0.28623275571619189</v>
      </c>
      <c r="U1430" s="109">
        <f>IF(VLOOKUP($D1430,Sheet1!$M$5:$U$192,9,TRUE)=0,"",IF(ABS(D1430-VLOOKUP($D1430,Sheet1!$M$5:$U$192,9,TRUE))&lt;10^-10,"Alt.",D1430-VLOOKUP($D1430,Sheet1!$M$5:$U$192,9,TRUE)))</f>
        <v>-0.31319305091862759</v>
      </c>
      <c r="V1430" s="132">
        <f>$D1430-Sheet1!$M$3*$R1430</f>
        <v>-0.14323070533629334</v>
      </c>
      <c r="Z1430" s="6"/>
      <c r="AA1430" s="61"/>
    </row>
    <row r="1431" spans="1:27" ht="13.5">
      <c r="A1431" t="s">
        <v>706</v>
      </c>
      <c r="B1431">
        <v>364544</v>
      </c>
      <c r="C1431">
        <v>373977</v>
      </c>
      <c r="D1431" s="13">
        <f t="shared" si="29"/>
        <v>44.227906761112216</v>
      </c>
      <c r="E1431" s="61" t="s">
        <v>1931</v>
      </c>
      <c r="F1431" s="65">
        <v>115.65411402556015</v>
      </c>
      <c r="G1431" s="6">
        <v>571</v>
      </c>
      <c r="H1431" s="6">
        <v>551</v>
      </c>
      <c r="I1431" s="65">
        <v>6.2767266496813114</v>
      </c>
      <c r="J1431" s="6">
        <f>VLOOKUP($D1431,Sheet1!$A$5:$C$192,3,TRUE)</f>
        <v>8</v>
      </c>
      <c r="K1431" s="42" t="str">
        <f>VLOOKUP($D1431,Sheet1!$A$5:$C$192,2,TRUE)</f>
        <v>//|</v>
      </c>
      <c r="L1431" s="6">
        <f>FLOOR(VLOOKUP($D1431,Sheet1!$D$5:$F$192,3,TRUE),1)</f>
        <v>18</v>
      </c>
      <c r="M1431" s="42" t="str">
        <f>VLOOKUP($D1431,Sheet1!$D$5:$F$192,2,TRUE)</f>
        <v>//|</v>
      </c>
      <c r="N1431" s="23">
        <f>FLOOR(VLOOKUP($D1431,Sheet1!$G$5:$I$192,3,TRUE),1)</f>
        <v>23</v>
      </c>
      <c r="O1431" s="42" t="str">
        <f>VLOOKUP($D1431,Sheet1!$G$5:$I$192,2,TRUE)</f>
        <v>'//|</v>
      </c>
      <c r="P1431" s="23">
        <v>1</v>
      </c>
      <c r="Q1431" s="43" t="str">
        <f>VLOOKUP($D1431,Sheet1!$J$5:$L$192,2,TRUE)</f>
        <v>'//|.</v>
      </c>
      <c r="R1431" s="23">
        <f>FLOOR(VLOOKUP($D1431,Sheet1!$M$5:$O$192,3,TRUE),1)</f>
        <v>91</v>
      </c>
      <c r="S1431" s="42" t="str">
        <f>VLOOKUP($D1431,Sheet1!$M$5:$O$192,2,TRUE)</f>
        <v>'//|.</v>
      </c>
      <c r="T1431" s="117">
        <f>IF(ABS(D1431-VLOOKUP($D1431,Sheet1!$M$5:$T$192,8,TRUE))&lt;10^-10,"SoCA",D1431-VLOOKUP($D1431,Sheet1!$M$5:$T$192,8,TRUE))</f>
        <v>-0.31567705429680615</v>
      </c>
      <c r="U1431" s="109">
        <f>IF(VLOOKUP($D1431,Sheet1!$M$5:$U$192,9,TRUE)=0,"",IF(ABS(D1431-VLOOKUP($D1431,Sheet1!$M$5:$U$192,9,TRUE))&lt;10^-10,"Alt.",D1431-VLOOKUP($D1431,Sheet1!$M$5:$U$192,9,TRUE)))</f>
        <v>-0.34263734949924185</v>
      </c>
      <c r="V1431" s="132">
        <f>$D1431-Sheet1!$M$3*$R1431</f>
        <v>-0.1726750039169076</v>
      </c>
      <c r="Z1431" s="6"/>
      <c r="AA1431" s="61"/>
    </row>
    <row r="1432" spans="1:27" ht="13.5">
      <c r="A1432" s="6" t="s">
        <v>1005</v>
      </c>
      <c r="B1432" s="6">
        <f>7*11</f>
        <v>77</v>
      </c>
      <c r="C1432" s="6">
        <f>79</f>
        <v>79</v>
      </c>
      <c r="D1432" s="13">
        <f t="shared" si="29"/>
        <v>44.393048978641886</v>
      </c>
      <c r="E1432" s="61" t="s">
        <v>1931</v>
      </c>
      <c r="F1432" s="65">
        <v>116.49710155631122</v>
      </c>
      <c r="G1432" s="6">
        <v>917</v>
      </c>
      <c r="H1432" s="6">
        <v>853</v>
      </c>
      <c r="I1432" s="65">
        <v>-2.7334417582978445</v>
      </c>
      <c r="J1432" s="6">
        <f>VLOOKUP($D1432,Sheet1!$A$5:$C$192,3,TRUE)</f>
        <v>8</v>
      </c>
      <c r="K1432" s="42" t="str">
        <f>VLOOKUP($D1432,Sheet1!$A$5:$C$192,2,TRUE)</f>
        <v>//|</v>
      </c>
      <c r="L1432" s="6">
        <f>FLOOR(VLOOKUP($D1432,Sheet1!$D$5:$F$192,3,TRUE),1)</f>
        <v>18</v>
      </c>
      <c r="M1432" s="42" t="str">
        <f>VLOOKUP($D1432,Sheet1!$D$5:$F$192,2,TRUE)</f>
        <v>//|</v>
      </c>
      <c r="N1432" s="23">
        <f>FLOOR(VLOOKUP($D1432,Sheet1!$G$5:$I$192,3,TRUE),1)</f>
        <v>23</v>
      </c>
      <c r="O1432" s="42" t="str">
        <f>VLOOKUP($D1432,Sheet1!$G$5:$I$192,2,TRUE)</f>
        <v>'//|</v>
      </c>
      <c r="P1432" s="23">
        <v>1</v>
      </c>
      <c r="Q1432" s="43" t="str">
        <f>VLOOKUP($D1432,Sheet1!$J$5:$L$192,2,TRUE)</f>
        <v>'//|.</v>
      </c>
      <c r="R1432" s="23">
        <f>FLOOR(VLOOKUP($D1432,Sheet1!$M$5:$O$192,3,TRUE),1)</f>
        <v>91</v>
      </c>
      <c r="S1432" s="42" t="str">
        <f>VLOOKUP($D1432,Sheet1!$M$5:$O$192,2,TRUE)</f>
        <v>'//|.</v>
      </c>
      <c r="T1432" s="117">
        <f>IF(ABS(D1432-VLOOKUP($D1432,Sheet1!$M$5:$T$192,8,TRUE))&lt;10^-10,"SoCA",D1432-VLOOKUP($D1432,Sheet1!$M$5:$T$192,8,TRUE))</f>
        <v>-0.15053483676713597</v>
      </c>
      <c r="U1432" s="109">
        <f>IF(VLOOKUP($D1432,Sheet1!$M$5:$U$192,9,TRUE)=0,"",IF(ABS(D1432-VLOOKUP($D1432,Sheet1!$M$5:$U$192,9,TRUE))&lt;10^-10,"Alt.",D1432-VLOOKUP($D1432,Sheet1!$M$5:$U$192,9,TRUE)))</f>
        <v>-0.17749513196957167</v>
      </c>
      <c r="V1432" s="132">
        <f>$D1432-Sheet1!$M$3*$R1432</f>
        <v>-7.5327863872374223E-3</v>
      </c>
      <c r="Z1432" s="6"/>
      <c r="AA1432" s="61"/>
    </row>
    <row r="1433" spans="1:27" ht="13.5">
      <c r="A1433" s="6" t="s">
        <v>1901</v>
      </c>
      <c r="B1433">
        <v>846369</v>
      </c>
      <c r="C1433">
        <v>868352</v>
      </c>
      <c r="D1433" s="13">
        <f t="shared" si="29"/>
        <v>44.39183204483458</v>
      </c>
      <c r="E1433" s="61" t="s">
        <v>1931</v>
      </c>
      <c r="F1433" s="65">
        <v>145.60391561751038</v>
      </c>
      <c r="G1433" s="59">
        <v>1738</v>
      </c>
      <c r="H1433" s="63">
        <v>1000106</v>
      </c>
      <c r="I1433" s="65">
        <v>-11.733366827249798</v>
      </c>
      <c r="J1433" s="6">
        <f>VLOOKUP($D1433,Sheet1!$A$5:$C$192,3,TRUE)</f>
        <v>8</v>
      </c>
      <c r="K1433" s="42" t="str">
        <f>VLOOKUP($D1433,Sheet1!$A$5:$C$192,2,TRUE)</f>
        <v>//|</v>
      </c>
      <c r="L1433" s="6">
        <f>FLOOR(VLOOKUP($D1433,Sheet1!$D$5:$F$192,3,TRUE),1)</f>
        <v>18</v>
      </c>
      <c r="M1433" s="42" t="str">
        <f>VLOOKUP($D1433,Sheet1!$D$5:$F$192,2,TRUE)</f>
        <v>//|</v>
      </c>
      <c r="N1433" s="23">
        <f>FLOOR(VLOOKUP($D1433,Sheet1!$G$5:$I$192,3,TRUE),1)</f>
        <v>23</v>
      </c>
      <c r="O1433" s="42" t="str">
        <f>VLOOKUP($D1433,Sheet1!$G$5:$I$192,2,TRUE)</f>
        <v>'//|</v>
      </c>
      <c r="P1433" s="23">
        <v>1</v>
      </c>
      <c r="Q1433" s="43" t="str">
        <f>VLOOKUP($D1433,Sheet1!$J$5:$L$192,2,TRUE)</f>
        <v>'//|.</v>
      </c>
      <c r="R1433" s="23">
        <f>FLOOR(VLOOKUP($D1433,Sheet1!$M$5:$O$192,3,TRUE),1)</f>
        <v>91</v>
      </c>
      <c r="S1433" s="42" t="str">
        <f>VLOOKUP($D1433,Sheet1!$M$5:$O$192,2,TRUE)</f>
        <v>'//|.</v>
      </c>
      <c r="T1433" s="117">
        <f>IF(ABS(D1433-VLOOKUP($D1433,Sheet1!$M$5:$T$192,8,TRUE))&lt;10^-10,"SoCA",D1433-VLOOKUP($D1433,Sheet1!$M$5:$T$192,8,TRUE))</f>
        <v>-0.15175177057444245</v>
      </c>
      <c r="U1433" s="109">
        <f>IF(VLOOKUP($D1433,Sheet1!$M$5:$U$192,9,TRUE)=0,"",IF(ABS(D1433-VLOOKUP($D1433,Sheet1!$M$5:$U$192,9,TRUE))&lt;10^-10,"Alt.",D1433-VLOOKUP($D1433,Sheet1!$M$5:$U$192,9,TRUE)))</f>
        <v>-0.17871206577687815</v>
      </c>
      <c r="V1433" s="132">
        <f>$D1433-Sheet1!$M$3*$R1433</f>
        <v>-8.7497201945438974E-3</v>
      </c>
      <c r="Z1433" s="6"/>
      <c r="AA1433" s="61"/>
    </row>
    <row r="1434" spans="1:27" ht="13.5">
      <c r="A1434" t="s">
        <v>1657</v>
      </c>
      <c r="B1434">
        <v>130023424</v>
      </c>
      <c r="C1434">
        <v>133391691</v>
      </c>
      <c r="D1434" s="13">
        <f t="shared" si="29"/>
        <v>44.276702661325238</v>
      </c>
      <c r="E1434" s="61" t="s">
        <v>1931</v>
      </c>
      <c r="F1434" s="65">
        <v>355.56875791766169</v>
      </c>
      <c r="G1434" s="6">
        <v>1564</v>
      </c>
      <c r="H1434" s="6">
        <v>1506</v>
      </c>
      <c r="I1434" s="65">
        <v>9.2737221083320538</v>
      </c>
      <c r="J1434" s="6">
        <f>VLOOKUP($D1434,Sheet1!$A$5:$C$192,3,TRUE)</f>
        <v>8</v>
      </c>
      <c r="K1434" s="42" t="str">
        <f>VLOOKUP($D1434,Sheet1!$A$5:$C$192,2,TRUE)</f>
        <v>//|</v>
      </c>
      <c r="L1434" s="6">
        <f>FLOOR(VLOOKUP($D1434,Sheet1!$D$5:$F$192,3,TRUE),1)</f>
        <v>18</v>
      </c>
      <c r="M1434" s="42" t="str">
        <f>VLOOKUP($D1434,Sheet1!$D$5:$F$192,2,TRUE)</f>
        <v>//|</v>
      </c>
      <c r="N1434" s="23">
        <f>FLOOR(VLOOKUP($D1434,Sheet1!$G$5:$I$192,3,TRUE),1)</f>
        <v>23</v>
      </c>
      <c r="O1434" s="42" t="str">
        <f>VLOOKUP($D1434,Sheet1!$G$5:$I$192,2,TRUE)</f>
        <v>'//|</v>
      </c>
      <c r="P1434" s="23">
        <v>1</v>
      </c>
      <c r="Q1434" s="43" t="str">
        <f>VLOOKUP($D1434,Sheet1!$J$5:$L$192,2,TRUE)</f>
        <v>'//|.</v>
      </c>
      <c r="R1434" s="23">
        <f>FLOOR(VLOOKUP($D1434,Sheet1!$M$5:$O$192,3,TRUE),1)</f>
        <v>91</v>
      </c>
      <c r="S1434" s="42" t="str">
        <f>VLOOKUP($D1434,Sheet1!$M$5:$O$192,2,TRUE)</f>
        <v>'//|.</v>
      </c>
      <c r="T1434" s="117">
        <f>IF(ABS(D1434-VLOOKUP($D1434,Sheet1!$M$5:$T$192,8,TRUE))&lt;10^-10,"SoCA",D1434-VLOOKUP($D1434,Sheet1!$M$5:$T$192,8,TRUE))</f>
        <v>-0.26688115408378366</v>
      </c>
      <c r="U1434" s="109">
        <f>IF(VLOOKUP($D1434,Sheet1!$M$5:$U$192,9,TRUE)=0,"",IF(ABS(D1434-VLOOKUP($D1434,Sheet1!$M$5:$U$192,9,TRUE))&lt;10^-10,"Alt.",D1434-VLOOKUP($D1434,Sheet1!$M$5:$U$192,9,TRUE)))</f>
        <v>-0.29384144928621936</v>
      </c>
      <c r="V1434" s="132">
        <f>$D1434-Sheet1!$M$3*$R1434</f>
        <v>-0.12387910370388511</v>
      </c>
      <c r="Z1434" s="6"/>
      <c r="AA1434" s="61"/>
    </row>
    <row r="1435" spans="1:27" ht="13.5">
      <c r="A1435" s="21" t="s">
        <v>652</v>
      </c>
      <c r="B1435" s="21">
        <f>499</f>
        <v>499</v>
      </c>
      <c r="C1435" s="21">
        <f>2^9</f>
        <v>512</v>
      </c>
      <c r="D1435" s="13">
        <f t="shared" si="29"/>
        <v>44.524793595287214</v>
      </c>
      <c r="E1435" s="61" t="s">
        <v>1931</v>
      </c>
      <c r="F1435" s="65">
        <v>598.93200981976065</v>
      </c>
      <c r="G1435" s="6">
        <v>546</v>
      </c>
      <c r="H1435" s="6">
        <v>497</v>
      </c>
      <c r="I1435" s="65">
        <v>-2.7415537543164672</v>
      </c>
      <c r="J1435" s="6">
        <f>VLOOKUP($D1435,Sheet1!$A$5:$C$192,3,TRUE)</f>
        <v>8</v>
      </c>
      <c r="K1435" s="42" t="str">
        <f>VLOOKUP($D1435,Sheet1!$A$5:$C$192,2,TRUE)</f>
        <v>//|</v>
      </c>
      <c r="L1435" s="6">
        <f>FLOOR(VLOOKUP($D1435,Sheet1!$D$5:$F$192,3,TRUE),1)</f>
        <v>18</v>
      </c>
      <c r="M1435" s="42" t="str">
        <f>VLOOKUP($D1435,Sheet1!$D$5:$F$192,2,TRUE)</f>
        <v>//|</v>
      </c>
      <c r="N1435" s="23">
        <f>FLOOR(VLOOKUP($D1435,Sheet1!$G$5:$I$192,3,TRUE),1)</f>
        <v>23</v>
      </c>
      <c r="O1435" s="42" t="str">
        <f>VLOOKUP($D1435,Sheet1!$G$5:$I$192,2,TRUE)</f>
        <v>'//|</v>
      </c>
      <c r="P1435" s="23">
        <v>1</v>
      </c>
      <c r="Q1435" s="43" t="str">
        <f>VLOOKUP($D1435,Sheet1!$J$5:$L$192,2,TRUE)</f>
        <v>'//|.</v>
      </c>
      <c r="R1435" s="23">
        <f>FLOOR(VLOOKUP($D1435,Sheet1!$M$5:$O$192,3,TRUE),1)</f>
        <v>91</v>
      </c>
      <c r="S1435" s="43" t="str">
        <f>VLOOKUP($D1435,Sheet1!$M$5:$O$192,2,TRUE)</f>
        <v>'//|.</v>
      </c>
      <c r="T1435" s="117">
        <f>IF(ABS(D1435-VLOOKUP($D1435,Sheet1!$M$5:$T$192,8,TRUE))&lt;10^-10,"SoCA",D1435-VLOOKUP($D1435,Sheet1!$M$5:$T$192,8,TRUE))</f>
        <v>-1.8790220121807977E-2</v>
      </c>
      <c r="U1435" s="109">
        <f>IF(VLOOKUP($D1435,Sheet1!$M$5:$U$192,9,TRUE)=0,"",IF(ABS(D1435-VLOOKUP($D1435,Sheet1!$M$5:$U$192,9,TRUE))&lt;10^-10,"Alt.",D1435-VLOOKUP($D1435,Sheet1!$M$5:$U$192,9,TRUE)))</f>
        <v>-4.5750515324243679E-2</v>
      </c>
      <c r="V1435" s="132">
        <f>$D1435-Sheet1!$M$3*$R1435</f>
        <v>0.12421183025809057</v>
      </c>
      <c r="Z1435" s="6"/>
      <c r="AA1435" s="61"/>
    </row>
    <row r="1436" spans="1:27" ht="13.5">
      <c r="A1436" t="s">
        <v>1545</v>
      </c>
      <c r="B1436">
        <v>85899345920</v>
      </c>
      <c r="C1436">
        <v>88127621001</v>
      </c>
      <c r="D1436" s="13">
        <f t="shared" si="29"/>
        <v>44.33653700898607</v>
      </c>
      <c r="E1436" s="61" t="s">
        <v>1931</v>
      </c>
      <c r="F1436" s="65">
        <v>85369.921681757914</v>
      </c>
      <c r="G1436" s="6">
        <v>1448</v>
      </c>
      <c r="H1436" s="6">
        <v>1394</v>
      </c>
      <c r="I1436" s="65">
        <v>8.2700378895581785</v>
      </c>
      <c r="J1436" s="6">
        <f>VLOOKUP($D1436,Sheet1!$A$5:$C$192,3,TRUE)</f>
        <v>8</v>
      </c>
      <c r="K1436" s="42" t="str">
        <f>VLOOKUP($D1436,Sheet1!$A$5:$C$192,2,TRUE)</f>
        <v>//|</v>
      </c>
      <c r="L1436" s="6">
        <f>FLOOR(VLOOKUP($D1436,Sheet1!$D$5:$F$192,3,TRUE),1)</f>
        <v>18</v>
      </c>
      <c r="M1436" s="42" t="str">
        <f>VLOOKUP($D1436,Sheet1!$D$5:$F$192,2,TRUE)</f>
        <v>//|</v>
      </c>
      <c r="N1436" s="23">
        <f>FLOOR(VLOOKUP($D1436,Sheet1!$G$5:$I$192,3,TRUE),1)</f>
        <v>23</v>
      </c>
      <c r="O1436" s="42" t="str">
        <f>VLOOKUP($D1436,Sheet1!$G$5:$I$192,2,TRUE)</f>
        <v>'//|</v>
      </c>
      <c r="P1436" s="23">
        <v>1</v>
      </c>
      <c r="Q1436" s="43" t="str">
        <f>VLOOKUP($D1436,Sheet1!$J$5:$L$192,2,TRUE)</f>
        <v>'//|.</v>
      </c>
      <c r="R1436" s="23">
        <f>FLOOR(VLOOKUP($D1436,Sheet1!$M$5:$O$192,3,TRUE),1)</f>
        <v>91</v>
      </c>
      <c r="S1436" s="42" t="str">
        <f>VLOOKUP($D1436,Sheet1!$M$5:$O$192,2,TRUE)</f>
        <v>'//|.</v>
      </c>
      <c r="T1436" s="117">
        <f>IF(ABS(D1436-VLOOKUP($D1436,Sheet1!$M$5:$T$192,8,TRUE))&lt;10^-10,"SoCA",D1436-VLOOKUP($D1436,Sheet1!$M$5:$T$192,8,TRUE))</f>
        <v>-0.20704680642295159</v>
      </c>
      <c r="U1436" s="109">
        <f>IF(VLOOKUP($D1436,Sheet1!$M$5:$U$192,9,TRUE)=0,"",IF(ABS(D1436-VLOOKUP($D1436,Sheet1!$M$5:$U$192,9,TRUE))&lt;10^-10,"Alt.",D1436-VLOOKUP($D1436,Sheet1!$M$5:$U$192,9,TRUE)))</f>
        <v>-0.23400710162538729</v>
      </c>
      <c r="V1436" s="132">
        <f>$D1436-Sheet1!$M$3*$R1436</f>
        <v>-6.4044756043053042E-2</v>
      </c>
      <c r="Z1436" s="6"/>
      <c r="AA1436" s="61"/>
    </row>
    <row r="1437" spans="1:27" ht="13.5">
      <c r="A1437" s="23" t="s">
        <v>311</v>
      </c>
      <c r="B1437" s="23">
        <f>3^4*7*11</f>
        <v>6237</v>
      </c>
      <c r="C1437" s="23">
        <f>2^8*5^2</f>
        <v>6400</v>
      </c>
      <c r="D1437" s="13">
        <f t="shared" si="29"/>
        <v>44.663575434238368</v>
      </c>
      <c r="E1437" s="61">
        <v>11</v>
      </c>
      <c r="F1437" s="65">
        <v>29.161564571506005</v>
      </c>
      <c r="G1437" s="6">
        <v>143</v>
      </c>
      <c r="H1437" s="6">
        <v>141</v>
      </c>
      <c r="I1437" s="65">
        <v>-6.7500990577504574</v>
      </c>
      <c r="J1437" s="6">
        <f>VLOOKUP($D1437,Sheet1!$A$5:$C$192,3,TRUE)</f>
        <v>8</v>
      </c>
      <c r="K1437" s="42" t="str">
        <f>VLOOKUP($D1437,Sheet1!$A$5:$C$192,2,TRUE)</f>
        <v>//|</v>
      </c>
      <c r="L1437" s="6">
        <f>FLOOR(VLOOKUP($D1437,Sheet1!$D$5:$F$192,3,TRUE),1)</f>
        <v>19</v>
      </c>
      <c r="M1437" s="42" t="str">
        <f>VLOOKUP($D1437,Sheet1!$D$5:$F$192,2,TRUE)</f>
        <v>)//|</v>
      </c>
      <c r="N1437" s="23">
        <f>FLOOR(VLOOKUP($D1437,Sheet1!$G$5:$I$192,3,TRUE),1)</f>
        <v>23</v>
      </c>
      <c r="O1437" s="42" t="str">
        <f>VLOOKUP($D1437,Sheet1!$G$5:$I$192,2,TRUE)</f>
        <v>'//|</v>
      </c>
      <c r="P1437" s="23">
        <v>1</v>
      </c>
      <c r="Q1437" s="43" t="str">
        <f>VLOOKUP($D1437,Sheet1!$J$5:$L$192,2,TRUE)</f>
        <v>'//|</v>
      </c>
      <c r="R1437" s="23">
        <f>FLOOR(VLOOKUP($D1437,Sheet1!$M$5:$O$192,3,TRUE),1)</f>
        <v>92</v>
      </c>
      <c r="S1437" s="43" t="str">
        <f>VLOOKUP($D1437,Sheet1!$M$5:$O$192,2,TRUE)</f>
        <v>'//|</v>
      </c>
      <c r="T1437" s="117">
        <f>IF(ABS(D1437-VLOOKUP($D1437,Sheet1!$M$5:$T$192,8,TRUE))&lt;10^-10,"SoCA",D1437-VLOOKUP($D1437,Sheet1!$M$5:$T$192,8,TRUE))</f>
        <v>-0.30272454712547869</v>
      </c>
      <c r="U1437" s="117" t="str">
        <f>IF(VLOOKUP($D1437,Sheet1!$M$5:$U$192,9,TRUE)=0,"",IF(ABS(D1437-VLOOKUP($D1437,Sheet1!$M$5:$U$192,9,TRUE))&lt;10^-10,"Alt.",D1437-VLOOKUP($D1437,Sheet1!$M$5:$U$192,9,TRUE)))</f>
        <v/>
      </c>
      <c r="V1437" s="132">
        <f>$D1437-Sheet1!$M$3*$R1437</f>
        <v>-0.22492481172513834</v>
      </c>
      <c r="Z1437" s="6"/>
      <c r="AA1437" s="61"/>
    </row>
    <row r="1438" spans="1:27" ht="13.5">
      <c r="A1438" s="48" t="s">
        <v>179</v>
      </c>
      <c r="B1438" s="48">
        <f>2*19</f>
        <v>38</v>
      </c>
      <c r="C1438" s="48">
        <f>3*13</f>
        <v>39</v>
      </c>
      <c r="D1438" s="13">
        <f t="shared" si="29"/>
        <v>44.969646502395555</v>
      </c>
      <c r="E1438" s="61">
        <v>19</v>
      </c>
      <c r="F1438" s="65">
        <v>32.05267592315333</v>
      </c>
      <c r="G1438" s="6">
        <v>66</v>
      </c>
      <c r="H1438" s="6">
        <v>61</v>
      </c>
      <c r="I1438" s="65">
        <v>-1.7689449684945058</v>
      </c>
      <c r="J1438" s="6">
        <f>VLOOKUP($D1438,Sheet1!$A$5:$C$192,3,TRUE)</f>
        <v>8</v>
      </c>
      <c r="K1438" s="42" t="str">
        <f>VLOOKUP($D1438,Sheet1!$A$5:$C$192,2,TRUE)</f>
        <v>//|</v>
      </c>
      <c r="L1438" s="6">
        <f>FLOOR(VLOOKUP($D1438,Sheet1!$D$5:$F$192,3,TRUE),1)</f>
        <v>19</v>
      </c>
      <c r="M1438" s="42" t="str">
        <f>VLOOKUP($D1438,Sheet1!$D$5:$F$192,2,TRUE)</f>
        <v>)//|</v>
      </c>
      <c r="N1438" s="39">
        <f>FLOOR(VLOOKUP($D1438,Sheet1!$G$5:$I$192,3,TRUE),1)</f>
        <v>23</v>
      </c>
      <c r="O1438" s="44" t="str">
        <f>VLOOKUP($D1438,Sheet1!$G$5:$I$192,2,TRUE)</f>
        <v>'//|</v>
      </c>
      <c r="P1438" s="39">
        <v>1</v>
      </c>
      <c r="Q1438" s="44" t="str">
        <f>VLOOKUP($D1438,Sheet1!$J$5:$L$192,2,TRUE)</f>
        <v>'//|</v>
      </c>
      <c r="R1438" s="39">
        <f>FLOOR(VLOOKUP($D1438,Sheet1!$M$5:$O$192,3,TRUE),1)</f>
        <v>92</v>
      </c>
      <c r="S1438" s="44" t="str">
        <f>VLOOKUP($D1438,Sheet1!$M$5:$O$192,2,TRUE)</f>
        <v>'//|</v>
      </c>
      <c r="T1438" s="118">
        <f>IF(ABS(D1438-VLOOKUP($D1438,Sheet1!$M$5:$T$192,8,TRUE))&lt;10^-10,"SoCA",D1438-VLOOKUP($D1438,Sheet1!$M$5:$T$192,8,TRUE))</f>
        <v>3.34652103170896E-3</v>
      </c>
      <c r="U1438" s="118" t="str">
        <f>IF(VLOOKUP($D1438,Sheet1!$M$5:$U$192,9,TRUE)=0,"",IF(ABS(D1438-VLOOKUP($D1438,Sheet1!$M$5:$U$192,9,TRUE))&lt;10^-10,"Alt.",D1438-VLOOKUP($D1438,Sheet1!$M$5:$U$192,9,TRUE)))</f>
        <v/>
      </c>
      <c r="V1438" s="136">
        <f>$D1438-Sheet1!$M$3*$R1438</f>
        <v>8.1146256432049313E-2</v>
      </c>
      <c r="Z1438" s="6"/>
      <c r="AA1438" s="61"/>
    </row>
    <row r="1439" spans="1:27" ht="13.5">
      <c r="A1439" s="14" t="s">
        <v>282</v>
      </c>
      <c r="B1439" s="14">
        <f>2^5*37</f>
        <v>1184</v>
      </c>
      <c r="C1439" s="14">
        <f>3^5*5</f>
        <v>1215</v>
      </c>
      <c r="D1439" s="13">
        <f t="shared" si="29"/>
        <v>44.744679437032211</v>
      </c>
      <c r="E1439" s="61">
        <v>37</v>
      </c>
      <c r="F1439" s="65">
        <v>42.384023549841366</v>
      </c>
      <c r="G1439" s="6">
        <v>103</v>
      </c>
      <c r="H1439" s="6">
        <v>97</v>
      </c>
      <c r="I1439" s="65">
        <v>2.2449070733195571</v>
      </c>
      <c r="J1439" s="6">
        <f>VLOOKUP($D1439,Sheet1!$A$5:$C$192,3,TRUE)</f>
        <v>8</v>
      </c>
      <c r="K1439" s="42" t="str">
        <f>VLOOKUP($D1439,Sheet1!$A$5:$C$192,2,TRUE)</f>
        <v>//|</v>
      </c>
      <c r="L1439" s="6">
        <f>FLOOR(VLOOKUP($D1439,Sheet1!$D$5:$F$192,3,TRUE),1)</f>
        <v>19</v>
      </c>
      <c r="M1439" s="42" t="str">
        <f>VLOOKUP($D1439,Sheet1!$D$5:$F$192,2,TRUE)</f>
        <v>)//|</v>
      </c>
      <c r="N1439" s="23">
        <f>FLOOR(VLOOKUP($D1439,Sheet1!$G$5:$I$192,3,TRUE),1)</f>
        <v>23</v>
      </c>
      <c r="O1439" s="42" t="str">
        <f>VLOOKUP($D1439,Sheet1!$G$5:$I$192,2,TRUE)</f>
        <v>'//|</v>
      </c>
      <c r="P1439" s="23">
        <v>1</v>
      </c>
      <c r="Q1439" s="43" t="str">
        <f>VLOOKUP($D1439,Sheet1!$J$5:$L$192,2,TRUE)</f>
        <v>'//|</v>
      </c>
      <c r="R1439" s="23">
        <f>FLOOR(VLOOKUP($D1439,Sheet1!$M$5:$O$192,3,TRUE),1)</f>
        <v>92</v>
      </c>
      <c r="S1439" s="42" t="str">
        <f>VLOOKUP($D1439,Sheet1!$M$5:$O$192,2,TRUE)</f>
        <v>'//|</v>
      </c>
      <c r="T1439" s="117">
        <f>IF(ABS(D1439-VLOOKUP($D1439,Sheet1!$M$5:$T$192,8,TRUE))&lt;10^-10,"SoCA",D1439-VLOOKUP($D1439,Sheet1!$M$5:$T$192,8,TRUE))</f>
        <v>-0.22162054433163547</v>
      </c>
      <c r="U1439" s="109" t="str">
        <f>IF(VLOOKUP($D1439,Sheet1!$M$5:$U$192,9,TRUE)=0,"",IF(ABS(D1439-VLOOKUP($D1439,Sheet1!$M$5:$U$192,9,TRUE))&lt;10^-10,"Alt.",D1439-VLOOKUP($D1439,Sheet1!$M$5:$U$192,9,TRUE)))</f>
        <v/>
      </c>
      <c r="V1439" s="132">
        <f>$D1439-Sheet1!$M$3*$R1439</f>
        <v>-0.14382080893129512</v>
      </c>
      <c r="Z1439" s="6"/>
      <c r="AA1439" s="61"/>
    </row>
    <row r="1440" spans="1:27" ht="13.5">
      <c r="A1440" s="6" t="s">
        <v>299</v>
      </c>
      <c r="B1440" s="6">
        <f>2^18</f>
        <v>262144</v>
      </c>
      <c r="C1440" s="6">
        <f>3^8*41</f>
        <v>269001</v>
      </c>
      <c r="D1440" s="13">
        <f t="shared" si="29"/>
        <v>44.702412464799771</v>
      </c>
      <c r="E1440" s="61">
        <v>41</v>
      </c>
      <c r="F1440" s="65">
        <v>52.254235704780506</v>
      </c>
      <c r="G1440" s="6">
        <v>134</v>
      </c>
      <c r="H1440" s="6">
        <v>125</v>
      </c>
      <c r="I1440" s="65">
        <v>5.2475096047868721</v>
      </c>
      <c r="J1440" s="6">
        <f>VLOOKUP($D1440,Sheet1!$A$5:$C$192,3,TRUE)</f>
        <v>8</v>
      </c>
      <c r="K1440" s="42" t="str">
        <f>VLOOKUP($D1440,Sheet1!$A$5:$C$192,2,TRUE)</f>
        <v>//|</v>
      </c>
      <c r="L1440" s="6">
        <f>FLOOR(VLOOKUP($D1440,Sheet1!$D$5:$F$192,3,TRUE),1)</f>
        <v>19</v>
      </c>
      <c r="M1440" s="42" t="str">
        <f>VLOOKUP($D1440,Sheet1!$D$5:$F$192,2,TRUE)</f>
        <v>)//|</v>
      </c>
      <c r="N1440" s="23">
        <f>FLOOR(VLOOKUP($D1440,Sheet1!$G$5:$I$192,3,TRUE),1)</f>
        <v>23</v>
      </c>
      <c r="O1440" s="42" t="str">
        <f>VLOOKUP($D1440,Sheet1!$G$5:$I$192,2,TRUE)</f>
        <v>'//|</v>
      </c>
      <c r="P1440" s="23">
        <v>1</v>
      </c>
      <c r="Q1440" s="43" t="str">
        <f>VLOOKUP($D1440,Sheet1!$J$5:$L$192,2,TRUE)</f>
        <v>'//|</v>
      </c>
      <c r="R1440" s="23">
        <f>FLOOR(VLOOKUP($D1440,Sheet1!$M$5:$O$192,3,TRUE),1)</f>
        <v>92</v>
      </c>
      <c r="S1440" s="42" t="str">
        <f>VLOOKUP($D1440,Sheet1!$M$5:$O$192,2,TRUE)</f>
        <v>'//|</v>
      </c>
      <c r="T1440" s="117">
        <f>IF(ABS(D1440-VLOOKUP($D1440,Sheet1!$M$5:$T$192,8,TRUE))&lt;10^-10,"SoCA",D1440-VLOOKUP($D1440,Sheet1!$M$5:$T$192,8,TRUE))</f>
        <v>-0.2638875165640755</v>
      </c>
      <c r="U1440" s="109" t="str">
        <f>IF(VLOOKUP($D1440,Sheet1!$M$5:$U$192,9,TRUE)=0,"",IF(ABS(D1440-VLOOKUP($D1440,Sheet1!$M$5:$U$192,9,TRUE))&lt;10^-10,"Alt.",D1440-VLOOKUP($D1440,Sheet1!$M$5:$U$192,9,TRUE)))</f>
        <v/>
      </c>
      <c r="V1440" s="132">
        <f>$D1440-Sheet1!$M$3*$R1440</f>
        <v>-0.18608778116373514</v>
      </c>
      <c r="Z1440" s="6"/>
      <c r="AA1440" s="61"/>
    </row>
    <row r="1441" spans="1:27" ht="13.5">
      <c r="A1441" t="s">
        <v>755</v>
      </c>
      <c r="B1441">
        <v>6656</v>
      </c>
      <c r="C1441">
        <v>6831</v>
      </c>
      <c r="D1441" s="13">
        <f t="shared" si="29"/>
        <v>44.929630460023795</v>
      </c>
      <c r="E1441" s="61">
        <v>23</v>
      </c>
      <c r="F1441" s="65">
        <v>56.498636347603735</v>
      </c>
      <c r="G1441" s="6">
        <v>715</v>
      </c>
      <c r="H1441" s="6">
        <v>601</v>
      </c>
      <c r="I1441" s="65">
        <v>0.23351896502070302</v>
      </c>
      <c r="J1441" s="6">
        <f>VLOOKUP($D1441,Sheet1!$A$5:$C$192,3,TRUE)</f>
        <v>8</v>
      </c>
      <c r="K1441" s="42" t="str">
        <f>VLOOKUP($D1441,Sheet1!$A$5:$C$192,2,TRUE)</f>
        <v>//|</v>
      </c>
      <c r="L1441" s="6">
        <f>FLOOR(VLOOKUP($D1441,Sheet1!$D$5:$F$192,3,TRUE),1)</f>
        <v>19</v>
      </c>
      <c r="M1441" s="42" t="str">
        <f>VLOOKUP($D1441,Sheet1!$D$5:$F$192,2,TRUE)</f>
        <v>)//|</v>
      </c>
      <c r="N1441" s="23">
        <f>FLOOR(VLOOKUP($D1441,Sheet1!$G$5:$I$192,3,TRUE),1)</f>
        <v>23</v>
      </c>
      <c r="O1441" s="42" t="str">
        <f>VLOOKUP($D1441,Sheet1!$G$5:$I$192,2,TRUE)</f>
        <v>'//|</v>
      </c>
      <c r="P1441" s="23">
        <v>1</v>
      </c>
      <c r="Q1441" s="43" t="str">
        <f>VLOOKUP($D1441,Sheet1!$J$5:$L$192,2,TRUE)</f>
        <v>'//|</v>
      </c>
      <c r="R1441" s="23">
        <f>FLOOR(VLOOKUP($D1441,Sheet1!$M$5:$O$192,3,TRUE),1)</f>
        <v>92</v>
      </c>
      <c r="S1441" s="42" t="str">
        <f>VLOOKUP($D1441,Sheet1!$M$5:$O$192,2,TRUE)</f>
        <v>'//|</v>
      </c>
      <c r="T1441" s="117">
        <f>IF(ABS(D1441-VLOOKUP($D1441,Sheet1!$M$5:$T$192,8,TRUE))&lt;10^-10,"SoCA",D1441-VLOOKUP($D1441,Sheet1!$M$5:$T$192,8,TRUE))</f>
        <v>-3.6669521340051858E-2</v>
      </c>
      <c r="U1441" s="109" t="str">
        <f>IF(VLOOKUP($D1441,Sheet1!$M$5:$U$192,9,TRUE)=0,"",IF(ABS(D1441-VLOOKUP($D1441,Sheet1!$M$5:$U$192,9,TRUE))&lt;10^-10,"Alt.",D1441-VLOOKUP($D1441,Sheet1!$M$5:$U$192,9,TRUE)))</f>
        <v/>
      </c>
      <c r="V1441" s="132">
        <f>$D1441-Sheet1!$M$3*$R1441</f>
        <v>4.1130214060288495E-2</v>
      </c>
      <c r="Z1441" s="6"/>
      <c r="AA1441" s="61"/>
    </row>
    <row r="1442" spans="1:27" ht="13.5">
      <c r="A1442" t="s">
        <v>1440</v>
      </c>
      <c r="B1442">
        <v>22151168</v>
      </c>
      <c r="C1442">
        <v>22733865</v>
      </c>
      <c r="D1442" s="13">
        <f t="shared" si="29"/>
        <v>44.952247813969535</v>
      </c>
      <c r="E1442" s="61">
        <v>13</v>
      </c>
      <c r="F1442" s="65">
        <v>71.553656903868898</v>
      </c>
      <c r="G1442" s="6">
        <v>1355</v>
      </c>
      <c r="H1442" s="6">
        <v>1289</v>
      </c>
      <c r="I1442" s="65">
        <v>7.2321263321387566</v>
      </c>
      <c r="J1442" s="6">
        <f>VLOOKUP($D1442,Sheet1!$A$5:$C$192,3,TRUE)</f>
        <v>8</v>
      </c>
      <c r="K1442" s="42" t="str">
        <f>VLOOKUP($D1442,Sheet1!$A$5:$C$192,2,TRUE)</f>
        <v>//|</v>
      </c>
      <c r="L1442" s="6">
        <f>FLOOR(VLOOKUP($D1442,Sheet1!$D$5:$F$192,3,TRUE),1)</f>
        <v>19</v>
      </c>
      <c r="M1442" s="42" t="str">
        <f>VLOOKUP($D1442,Sheet1!$D$5:$F$192,2,TRUE)</f>
        <v>)//|</v>
      </c>
      <c r="N1442" s="23">
        <f>FLOOR(VLOOKUP($D1442,Sheet1!$G$5:$I$192,3,TRUE),1)</f>
        <v>23</v>
      </c>
      <c r="O1442" s="42" t="str">
        <f>VLOOKUP($D1442,Sheet1!$G$5:$I$192,2,TRUE)</f>
        <v>'//|</v>
      </c>
      <c r="P1442" s="23">
        <v>1</v>
      </c>
      <c r="Q1442" s="43" t="str">
        <f>VLOOKUP($D1442,Sheet1!$J$5:$L$192,2,TRUE)</f>
        <v>'//|</v>
      </c>
      <c r="R1442" s="23">
        <f>FLOOR(VLOOKUP($D1442,Sheet1!$M$5:$O$192,3,TRUE),1)</f>
        <v>92</v>
      </c>
      <c r="S1442" s="42" t="str">
        <f>VLOOKUP($D1442,Sheet1!$M$5:$O$192,2,TRUE)</f>
        <v>'//|</v>
      </c>
      <c r="T1442" s="117">
        <f>IF(ABS(D1442-VLOOKUP($D1442,Sheet1!$M$5:$T$192,8,TRUE))&lt;10^-10,"SoCA",D1442-VLOOKUP($D1442,Sheet1!$M$5:$T$192,8,TRUE))</f>
        <v>-1.4052167394311255E-2</v>
      </c>
      <c r="U1442" s="109" t="str">
        <f>IF(VLOOKUP($D1442,Sheet1!$M$5:$U$192,9,TRUE)=0,"",IF(ABS(D1442-VLOOKUP($D1442,Sheet1!$M$5:$U$192,9,TRUE))&lt;10^-10,"Alt.",D1442-VLOOKUP($D1442,Sheet1!$M$5:$U$192,9,TRUE)))</f>
        <v/>
      </c>
      <c r="V1442" s="132">
        <f>$D1442-Sheet1!$M$3*$R1442</f>
        <v>6.3747568006029098E-2</v>
      </c>
      <c r="Z1442" s="6"/>
      <c r="AA1442" s="61"/>
    </row>
    <row r="1443" spans="1:27" ht="13.5">
      <c r="A1443" t="s">
        <v>1148</v>
      </c>
      <c r="B1443">
        <v>159651</v>
      </c>
      <c r="C1443">
        <v>163840</v>
      </c>
      <c r="D1443" s="13">
        <f t="shared" si="29"/>
        <v>44.839237151102147</v>
      </c>
      <c r="E1443" s="61" t="s">
        <v>1931</v>
      </c>
      <c r="F1443" s="65">
        <v>90.050707114763668</v>
      </c>
      <c r="G1443" s="6">
        <v>572</v>
      </c>
      <c r="H1443" s="6">
        <v>997</v>
      </c>
      <c r="I1443" s="65">
        <v>-9.7609151896282373</v>
      </c>
      <c r="J1443" s="6">
        <f>VLOOKUP($D1443,Sheet1!$A$5:$C$192,3,TRUE)</f>
        <v>8</v>
      </c>
      <c r="K1443" s="42" t="str">
        <f>VLOOKUP($D1443,Sheet1!$A$5:$C$192,2,TRUE)</f>
        <v>//|</v>
      </c>
      <c r="L1443" s="6">
        <f>FLOOR(VLOOKUP($D1443,Sheet1!$D$5:$F$192,3,TRUE),1)</f>
        <v>19</v>
      </c>
      <c r="M1443" s="42" t="str">
        <f>VLOOKUP($D1443,Sheet1!$D$5:$F$192,2,TRUE)</f>
        <v>)//|</v>
      </c>
      <c r="N1443" s="23">
        <f>FLOOR(VLOOKUP($D1443,Sheet1!$G$5:$I$192,3,TRUE),1)</f>
        <v>23</v>
      </c>
      <c r="O1443" s="42" t="str">
        <f>VLOOKUP($D1443,Sheet1!$G$5:$I$192,2,TRUE)</f>
        <v>'//|</v>
      </c>
      <c r="P1443" s="23">
        <v>1</v>
      </c>
      <c r="Q1443" s="43" t="str">
        <f>VLOOKUP($D1443,Sheet1!$J$5:$L$192,2,TRUE)</f>
        <v>'//|</v>
      </c>
      <c r="R1443" s="23">
        <f>FLOOR(VLOOKUP($D1443,Sheet1!$M$5:$O$192,3,TRUE),1)</f>
        <v>92</v>
      </c>
      <c r="S1443" s="42" t="str">
        <f>VLOOKUP($D1443,Sheet1!$M$5:$O$192,2,TRUE)</f>
        <v>'//|</v>
      </c>
      <c r="T1443" s="117">
        <f>IF(ABS(D1443-VLOOKUP($D1443,Sheet1!$M$5:$T$192,8,TRUE))&lt;10^-10,"SoCA",D1443-VLOOKUP($D1443,Sheet1!$M$5:$T$192,8,TRUE))</f>
        <v>-0.12706283026169984</v>
      </c>
      <c r="U1443" s="109" t="str">
        <f>IF(VLOOKUP($D1443,Sheet1!$M$5:$U$192,9,TRUE)=0,"",IF(ABS(D1443-VLOOKUP($D1443,Sheet1!$M$5:$U$192,9,TRUE))&lt;10^-10,"Alt.",D1443-VLOOKUP($D1443,Sheet1!$M$5:$U$192,9,TRUE)))</f>
        <v/>
      </c>
      <c r="V1443" s="132">
        <f>$D1443-Sheet1!$M$3*$R1443</f>
        <v>-4.9263094861359491E-2</v>
      </c>
      <c r="Z1443" s="6"/>
      <c r="AA1443" s="61"/>
    </row>
    <row r="1444" spans="1:27" ht="13.5">
      <c r="A1444" t="s">
        <v>1152</v>
      </c>
      <c r="B1444">
        <v>8525</v>
      </c>
      <c r="C1444">
        <v>8748</v>
      </c>
      <c r="D1444" s="13">
        <f t="shared" si="29"/>
        <v>44.704063499035279</v>
      </c>
      <c r="E1444" s="61">
        <v>31</v>
      </c>
      <c r="F1444" s="65">
        <v>95.219587657547194</v>
      </c>
      <c r="G1444" s="6">
        <v>1054</v>
      </c>
      <c r="H1444" s="6">
        <v>1001</v>
      </c>
      <c r="I1444" s="65">
        <v>4.2474079445939461</v>
      </c>
      <c r="J1444" s="6">
        <f>VLOOKUP($D1444,Sheet1!$A$5:$C$192,3,TRUE)</f>
        <v>8</v>
      </c>
      <c r="K1444" s="42" t="str">
        <f>VLOOKUP($D1444,Sheet1!$A$5:$C$192,2,TRUE)</f>
        <v>//|</v>
      </c>
      <c r="L1444" s="6">
        <f>FLOOR(VLOOKUP($D1444,Sheet1!$D$5:$F$192,3,TRUE),1)</f>
        <v>19</v>
      </c>
      <c r="M1444" s="42" t="str">
        <f>VLOOKUP($D1444,Sheet1!$D$5:$F$192,2,TRUE)</f>
        <v>)//|</v>
      </c>
      <c r="N1444" s="23">
        <f>FLOOR(VLOOKUP($D1444,Sheet1!$G$5:$I$192,3,TRUE),1)</f>
        <v>23</v>
      </c>
      <c r="O1444" s="42" t="str">
        <f>VLOOKUP($D1444,Sheet1!$G$5:$I$192,2,TRUE)</f>
        <v>'//|</v>
      </c>
      <c r="P1444" s="23">
        <v>1</v>
      </c>
      <c r="Q1444" s="43" t="str">
        <f>VLOOKUP($D1444,Sheet1!$J$5:$L$192,2,TRUE)</f>
        <v>'//|</v>
      </c>
      <c r="R1444" s="23">
        <f>FLOOR(VLOOKUP($D1444,Sheet1!$M$5:$O$192,3,TRUE),1)</f>
        <v>92</v>
      </c>
      <c r="S1444" s="42" t="str">
        <f>VLOOKUP($D1444,Sheet1!$M$5:$O$192,2,TRUE)</f>
        <v>'//|</v>
      </c>
      <c r="T1444" s="117">
        <f>IF(ABS(D1444-VLOOKUP($D1444,Sheet1!$M$5:$T$192,8,TRUE))&lt;10^-10,"SoCA",D1444-VLOOKUP($D1444,Sheet1!$M$5:$T$192,8,TRUE))</f>
        <v>-0.26223648232856789</v>
      </c>
      <c r="U1444" s="109" t="str">
        <f>IF(VLOOKUP($D1444,Sheet1!$M$5:$U$192,9,TRUE)=0,"",IF(ABS(D1444-VLOOKUP($D1444,Sheet1!$M$5:$U$192,9,TRUE))&lt;10^-10,"Alt.",D1444-VLOOKUP($D1444,Sheet1!$M$5:$U$192,9,TRUE)))</f>
        <v/>
      </c>
      <c r="V1444" s="132">
        <f>$D1444-Sheet1!$M$3*$R1444</f>
        <v>-0.18443674692822754</v>
      </c>
      <c r="Z1444" s="6"/>
      <c r="AA1444" s="61"/>
    </row>
    <row r="1445" spans="1:27" ht="13.5">
      <c r="A1445" s="6" t="s">
        <v>422</v>
      </c>
      <c r="B1445" s="6">
        <f>3^2*97</f>
        <v>873</v>
      </c>
      <c r="C1445" s="6">
        <f>2^7*7</f>
        <v>896</v>
      </c>
      <c r="D1445" s="13">
        <f t="shared" si="29"/>
        <v>45.020494113796723</v>
      </c>
      <c r="E1445" s="61" t="s">
        <v>1931</v>
      </c>
      <c r="F1445" s="65">
        <v>104.40348097328153</v>
      </c>
      <c r="G1445" s="6">
        <v>278</v>
      </c>
      <c r="H1445" s="6">
        <v>260</v>
      </c>
      <c r="I1445" s="65">
        <v>-4.7720758411764095</v>
      </c>
      <c r="J1445" s="6">
        <f>VLOOKUP($D1445,Sheet1!$A$5:$C$192,3,TRUE)</f>
        <v>8</v>
      </c>
      <c r="K1445" s="42" t="str">
        <f>VLOOKUP($D1445,Sheet1!$A$5:$C$192,2,TRUE)</f>
        <v>//|</v>
      </c>
      <c r="L1445" s="6">
        <f>FLOOR(VLOOKUP($D1445,Sheet1!$D$5:$F$192,3,TRUE),1)</f>
        <v>19</v>
      </c>
      <c r="M1445" s="42" t="str">
        <f>VLOOKUP($D1445,Sheet1!$D$5:$F$192,2,TRUE)</f>
        <v>)//|</v>
      </c>
      <c r="N1445" s="23">
        <f>FLOOR(VLOOKUP($D1445,Sheet1!$G$5:$I$192,3,TRUE),1)</f>
        <v>23</v>
      </c>
      <c r="O1445" s="42" t="str">
        <f>VLOOKUP($D1445,Sheet1!$G$5:$I$192,2,TRUE)</f>
        <v>'//|</v>
      </c>
      <c r="P1445" s="23">
        <v>1</v>
      </c>
      <c r="Q1445" s="43" t="str">
        <f>VLOOKUP($D1445,Sheet1!$J$5:$L$192,2,TRUE)</f>
        <v>'//|</v>
      </c>
      <c r="R1445" s="23">
        <f>FLOOR(VLOOKUP($D1445,Sheet1!$M$5:$O$192,3,TRUE),1)</f>
        <v>92</v>
      </c>
      <c r="S1445" s="42" t="str">
        <f>VLOOKUP($D1445,Sheet1!$M$5:$O$192,2,TRUE)</f>
        <v>'//|</v>
      </c>
      <c r="T1445" s="117">
        <f>IF(ABS(D1445-VLOOKUP($D1445,Sheet1!$M$5:$T$192,8,TRUE))&lt;10^-10,"SoCA",D1445-VLOOKUP($D1445,Sheet1!$M$5:$T$192,8,TRUE))</f>
        <v>5.4194132432876074E-2</v>
      </c>
      <c r="U1445" s="109" t="str">
        <f>IF(VLOOKUP($D1445,Sheet1!$M$5:$U$192,9,TRUE)=0,"",IF(ABS(D1445-VLOOKUP($D1445,Sheet1!$M$5:$U$192,9,TRUE))&lt;10^-10,"Alt.",D1445-VLOOKUP($D1445,Sheet1!$M$5:$U$192,9,TRUE)))</f>
        <v/>
      </c>
      <c r="V1445" s="132">
        <f>$D1445-Sheet1!$M$3*$R1445</f>
        <v>0.13199386783321643</v>
      </c>
      <c r="Z1445" s="6"/>
      <c r="AA1445" s="61"/>
    </row>
    <row r="1446" spans="1:27" ht="13.5">
      <c r="A1446" s="6" t="s">
        <v>1891</v>
      </c>
      <c r="B1446">
        <v>570807</v>
      </c>
      <c r="C1446">
        <v>585728</v>
      </c>
      <c r="D1446" s="13">
        <f t="shared" si="29"/>
        <v>44.673402192494038</v>
      </c>
      <c r="E1446" s="61">
        <v>29</v>
      </c>
      <c r="F1446" s="65">
        <v>107.41022970125016</v>
      </c>
      <c r="G1446" s="59">
        <v>1727</v>
      </c>
      <c r="H1446" s="63">
        <v>1000096</v>
      </c>
      <c r="I1446" s="65">
        <v>-11.750704127057087</v>
      </c>
      <c r="J1446" s="6">
        <f>VLOOKUP($D1446,Sheet1!$A$5:$C$192,3,TRUE)</f>
        <v>8</v>
      </c>
      <c r="K1446" s="42" t="str">
        <f>VLOOKUP($D1446,Sheet1!$A$5:$C$192,2,TRUE)</f>
        <v>//|</v>
      </c>
      <c r="L1446" s="6">
        <f>FLOOR(VLOOKUP($D1446,Sheet1!$D$5:$F$192,3,TRUE),1)</f>
        <v>19</v>
      </c>
      <c r="M1446" s="42" t="str">
        <f>VLOOKUP($D1446,Sheet1!$D$5:$F$192,2,TRUE)</f>
        <v>)//|</v>
      </c>
      <c r="N1446" s="23">
        <f>FLOOR(VLOOKUP($D1446,Sheet1!$G$5:$I$192,3,TRUE),1)</f>
        <v>23</v>
      </c>
      <c r="O1446" s="42" t="str">
        <f>VLOOKUP($D1446,Sheet1!$G$5:$I$192,2,TRUE)</f>
        <v>'//|</v>
      </c>
      <c r="P1446" s="23">
        <v>1</v>
      </c>
      <c r="Q1446" s="43" t="str">
        <f>VLOOKUP($D1446,Sheet1!$J$5:$L$192,2,TRUE)</f>
        <v>'//|</v>
      </c>
      <c r="R1446" s="23">
        <f>FLOOR(VLOOKUP($D1446,Sheet1!$M$5:$O$192,3,TRUE),1)</f>
        <v>92</v>
      </c>
      <c r="S1446" s="42" t="str">
        <f>VLOOKUP($D1446,Sheet1!$M$5:$O$192,2,TRUE)</f>
        <v>'//|</v>
      </c>
      <c r="T1446" s="117">
        <f>IF(ABS(D1446-VLOOKUP($D1446,Sheet1!$M$5:$T$192,8,TRUE))&lt;10^-10,"SoCA",D1446-VLOOKUP($D1446,Sheet1!$M$5:$T$192,8,TRUE))</f>
        <v>-0.29289778886980855</v>
      </c>
      <c r="U1446" s="109" t="str">
        <f>IF(VLOOKUP($D1446,Sheet1!$M$5:$U$192,9,TRUE)=0,"",IF(ABS(D1446-VLOOKUP($D1446,Sheet1!$M$5:$U$192,9,TRUE))&lt;10^-10,"Alt.",D1446-VLOOKUP($D1446,Sheet1!$M$5:$U$192,9,TRUE)))</f>
        <v/>
      </c>
      <c r="V1446" s="132">
        <f>$D1446-Sheet1!$M$3*$R1446</f>
        <v>-0.2150980534694682</v>
      </c>
      <c r="Z1446" s="6"/>
      <c r="AA1446" s="61"/>
    </row>
    <row r="1447" spans="1:27" ht="13.5">
      <c r="A1447" t="s">
        <v>818</v>
      </c>
      <c r="B1447">
        <v>1107</v>
      </c>
      <c r="C1447">
        <v>1136</v>
      </c>
      <c r="D1447" s="13">
        <f t="shared" si="29"/>
        <v>44.769135267755971</v>
      </c>
      <c r="E1447" s="61" t="s">
        <v>1931</v>
      </c>
      <c r="F1447" s="65">
        <v>112.81192389415772</v>
      </c>
      <c r="G1447" s="6">
        <v>639</v>
      </c>
      <c r="H1447" s="6">
        <v>665</v>
      </c>
      <c r="I1447" s="65">
        <v>-5.7565987612755469</v>
      </c>
      <c r="J1447" s="6">
        <f>VLOOKUP($D1447,Sheet1!$A$5:$C$192,3,TRUE)</f>
        <v>8</v>
      </c>
      <c r="K1447" s="42" t="str">
        <f>VLOOKUP($D1447,Sheet1!$A$5:$C$192,2,TRUE)</f>
        <v>//|</v>
      </c>
      <c r="L1447" s="6">
        <f>FLOOR(VLOOKUP($D1447,Sheet1!$D$5:$F$192,3,TRUE),1)</f>
        <v>19</v>
      </c>
      <c r="M1447" s="42" t="str">
        <f>VLOOKUP($D1447,Sheet1!$D$5:$F$192,2,TRUE)</f>
        <v>)//|</v>
      </c>
      <c r="N1447" s="23">
        <f>FLOOR(VLOOKUP($D1447,Sheet1!$G$5:$I$192,3,TRUE),1)</f>
        <v>23</v>
      </c>
      <c r="O1447" s="42" t="str">
        <f>VLOOKUP($D1447,Sheet1!$G$5:$I$192,2,TRUE)</f>
        <v>'//|</v>
      </c>
      <c r="P1447" s="23">
        <v>1</v>
      </c>
      <c r="Q1447" s="43" t="str">
        <f>VLOOKUP($D1447,Sheet1!$J$5:$L$192,2,TRUE)</f>
        <v>'//|</v>
      </c>
      <c r="R1447" s="23">
        <f>FLOOR(VLOOKUP($D1447,Sheet1!$M$5:$O$192,3,TRUE),1)</f>
        <v>92</v>
      </c>
      <c r="S1447" s="42" t="str">
        <f>VLOOKUP($D1447,Sheet1!$M$5:$O$192,2,TRUE)</f>
        <v>'//|</v>
      </c>
      <c r="T1447" s="117">
        <f>IF(ABS(D1447-VLOOKUP($D1447,Sheet1!$M$5:$T$192,8,TRUE))&lt;10^-10,"SoCA",D1447-VLOOKUP($D1447,Sheet1!$M$5:$T$192,8,TRUE))</f>
        <v>-0.1971647136078758</v>
      </c>
      <c r="U1447" s="109" t="str">
        <f>IF(VLOOKUP($D1447,Sheet1!$M$5:$U$192,9,TRUE)=0,"",IF(ABS(D1447-VLOOKUP($D1447,Sheet1!$M$5:$U$192,9,TRUE))&lt;10^-10,"Alt.",D1447-VLOOKUP($D1447,Sheet1!$M$5:$U$192,9,TRUE)))</f>
        <v/>
      </c>
      <c r="V1447" s="132">
        <f>$D1447-Sheet1!$M$3*$R1447</f>
        <v>-0.11936497820753544</v>
      </c>
      <c r="Z1447" s="6"/>
      <c r="AA1447" s="61"/>
    </row>
    <row r="1448" spans="1:27" ht="13.5">
      <c r="A1448" t="s">
        <v>1047</v>
      </c>
      <c r="B1448">
        <v>2003968</v>
      </c>
      <c r="C1448">
        <v>2056509</v>
      </c>
      <c r="D1448" s="13">
        <f t="shared" si="29"/>
        <v>44.805497142845816</v>
      </c>
      <c r="E1448" s="61" t="s">
        <v>1931</v>
      </c>
      <c r="F1448" s="65">
        <v>208.64790525192979</v>
      </c>
      <c r="G1448" s="6">
        <v>965</v>
      </c>
      <c r="H1448" s="6">
        <v>895</v>
      </c>
      <c r="I1448" s="65">
        <v>3.2411623056016476</v>
      </c>
      <c r="J1448" s="6">
        <f>VLOOKUP($D1448,Sheet1!$A$5:$C$192,3,TRUE)</f>
        <v>8</v>
      </c>
      <c r="K1448" s="42" t="str">
        <f>VLOOKUP($D1448,Sheet1!$A$5:$C$192,2,TRUE)</f>
        <v>//|</v>
      </c>
      <c r="L1448" s="6">
        <f>FLOOR(VLOOKUP($D1448,Sheet1!$D$5:$F$192,3,TRUE),1)</f>
        <v>19</v>
      </c>
      <c r="M1448" s="42" t="str">
        <f>VLOOKUP($D1448,Sheet1!$D$5:$F$192,2,TRUE)</f>
        <v>)//|</v>
      </c>
      <c r="N1448" s="23">
        <f>FLOOR(VLOOKUP($D1448,Sheet1!$G$5:$I$192,3,TRUE),1)</f>
        <v>23</v>
      </c>
      <c r="O1448" s="42" t="str">
        <f>VLOOKUP($D1448,Sheet1!$G$5:$I$192,2,TRUE)</f>
        <v>'//|</v>
      </c>
      <c r="P1448" s="23">
        <v>1</v>
      </c>
      <c r="Q1448" s="43" t="str">
        <f>VLOOKUP($D1448,Sheet1!$J$5:$L$192,2,TRUE)</f>
        <v>'//|</v>
      </c>
      <c r="R1448" s="23">
        <f>FLOOR(VLOOKUP($D1448,Sheet1!$M$5:$O$192,3,TRUE),1)</f>
        <v>92</v>
      </c>
      <c r="S1448" s="42" t="str">
        <f>VLOOKUP($D1448,Sheet1!$M$5:$O$192,2,TRUE)</f>
        <v>'//|</v>
      </c>
      <c r="T1448" s="117">
        <f>IF(ABS(D1448-VLOOKUP($D1448,Sheet1!$M$5:$T$192,8,TRUE))&lt;10^-10,"SoCA",D1448-VLOOKUP($D1448,Sheet1!$M$5:$T$192,8,TRUE))</f>
        <v>-0.16080283851803046</v>
      </c>
      <c r="U1448" s="109" t="str">
        <f>IF(VLOOKUP($D1448,Sheet1!$M$5:$U$192,9,TRUE)=0,"",IF(ABS(D1448-VLOOKUP($D1448,Sheet1!$M$5:$U$192,9,TRUE))&lt;10^-10,"Alt.",D1448-VLOOKUP($D1448,Sheet1!$M$5:$U$192,9,TRUE)))</f>
        <v/>
      </c>
      <c r="V1448" s="132">
        <f>$D1448-Sheet1!$M$3*$R1448</f>
        <v>-8.3003103117690102E-2</v>
      </c>
      <c r="Z1448" s="6"/>
      <c r="AA1448" s="61"/>
    </row>
    <row r="1449" spans="1:27" ht="13.5">
      <c r="A1449" t="s">
        <v>389</v>
      </c>
      <c r="B1449" s="6">
        <f>3^3*5^3</f>
        <v>3375</v>
      </c>
      <c r="C1449" s="6">
        <f>2^3*433</f>
        <v>3464</v>
      </c>
      <c r="D1449" s="13">
        <f t="shared" si="29"/>
        <v>45.061713481403196</v>
      </c>
      <c r="E1449" s="61" t="s">
        <v>1931</v>
      </c>
      <c r="F1449" s="65">
        <v>628.25876848054338</v>
      </c>
      <c r="G1449" s="6">
        <v>220</v>
      </c>
      <c r="H1449" s="6">
        <v>224</v>
      </c>
      <c r="I1449" s="65">
        <v>-5.7746138678102721</v>
      </c>
      <c r="J1449" s="6">
        <f>VLOOKUP($D1449,Sheet1!$A$5:$C$192,3,TRUE)</f>
        <v>8</v>
      </c>
      <c r="K1449" s="42" t="str">
        <f>VLOOKUP($D1449,Sheet1!$A$5:$C$192,2,TRUE)</f>
        <v>//|</v>
      </c>
      <c r="L1449" s="6">
        <f>FLOOR(VLOOKUP($D1449,Sheet1!$D$5:$F$192,3,TRUE),1)</f>
        <v>19</v>
      </c>
      <c r="M1449" s="42" t="str">
        <f>VLOOKUP($D1449,Sheet1!$D$5:$F$192,2,TRUE)</f>
        <v>)//|</v>
      </c>
      <c r="N1449" s="23">
        <f>FLOOR(VLOOKUP($D1449,Sheet1!$G$5:$I$192,3,TRUE),1)</f>
        <v>23</v>
      </c>
      <c r="O1449" s="42" t="str">
        <f>VLOOKUP($D1449,Sheet1!$G$5:$I$192,2,TRUE)</f>
        <v>'//|</v>
      </c>
      <c r="P1449" s="23">
        <v>1</v>
      </c>
      <c r="Q1449" s="43" t="str">
        <f>VLOOKUP($D1449,Sheet1!$J$5:$L$192,2,TRUE)</f>
        <v>'//|</v>
      </c>
      <c r="R1449" s="23">
        <f>FLOOR(VLOOKUP($D1449,Sheet1!$M$5:$O$192,3,TRUE),1)</f>
        <v>92</v>
      </c>
      <c r="S1449" s="42" t="str">
        <f>VLOOKUP($D1449,Sheet1!$M$5:$O$192,2,TRUE)</f>
        <v>'//|</v>
      </c>
      <c r="T1449" s="117">
        <f>IF(ABS(D1449-VLOOKUP($D1449,Sheet1!$M$5:$T$192,8,TRUE))&lt;10^-10,"SoCA",D1449-VLOOKUP($D1449,Sheet1!$M$5:$T$192,8,TRUE))</f>
        <v>9.5413500039349231E-2</v>
      </c>
      <c r="U1449" s="109" t="str">
        <f>IF(VLOOKUP($D1449,Sheet1!$M$5:$U$192,9,TRUE)=0,"",IF(ABS(D1449-VLOOKUP($D1449,Sheet1!$M$5:$U$192,9,TRUE))&lt;10^-10,"Alt.",D1449-VLOOKUP($D1449,Sheet1!$M$5:$U$192,9,TRUE)))</f>
        <v/>
      </c>
      <c r="V1449" s="132">
        <f>$D1449-Sheet1!$M$3*$R1449</f>
        <v>0.17321323543968958</v>
      </c>
      <c r="Z1449" s="6"/>
      <c r="AA1449" s="61"/>
    </row>
    <row r="1450" spans="1:27" ht="13.5">
      <c r="A1450" s="6" t="s">
        <v>1834</v>
      </c>
      <c r="B1450">
        <v>30069063</v>
      </c>
      <c r="C1450">
        <v>30859264</v>
      </c>
      <c r="D1450" s="13">
        <f t="shared" si="29"/>
        <v>44.908490164596778</v>
      </c>
      <c r="E1450" s="61" t="s">
        <v>1931</v>
      </c>
      <c r="F1450" s="65">
        <v>8399.7950777320275</v>
      </c>
      <c r="G1450" s="59">
        <v>1606</v>
      </c>
      <c r="H1450" s="63">
        <v>1000039</v>
      </c>
      <c r="I1450" s="65">
        <v>-10.765179349971566</v>
      </c>
      <c r="J1450" s="6">
        <f>VLOOKUP($D1450,Sheet1!$A$5:$C$192,3,TRUE)</f>
        <v>8</v>
      </c>
      <c r="K1450" s="42" t="str">
        <f>VLOOKUP($D1450,Sheet1!$A$5:$C$192,2,TRUE)</f>
        <v>//|</v>
      </c>
      <c r="L1450" s="6">
        <f>FLOOR(VLOOKUP($D1450,Sheet1!$D$5:$F$192,3,TRUE),1)</f>
        <v>19</v>
      </c>
      <c r="M1450" s="42" t="str">
        <f>VLOOKUP($D1450,Sheet1!$D$5:$F$192,2,TRUE)</f>
        <v>)//|</v>
      </c>
      <c r="N1450" s="23">
        <f>FLOOR(VLOOKUP($D1450,Sheet1!$G$5:$I$192,3,TRUE),1)</f>
        <v>23</v>
      </c>
      <c r="O1450" s="42" t="str">
        <f>VLOOKUP($D1450,Sheet1!$G$5:$I$192,2,TRUE)</f>
        <v>'//|</v>
      </c>
      <c r="P1450" s="23">
        <v>1</v>
      </c>
      <c r="Q1450" s="43" t="str">
        <f>VLOOKUP($D1450,Sheet1!$J$5:$L$192,2,TRUE)</f>
        <v>'//|</v>
      </c>
      <c r="R1450" s="23">
        <f>FLOOR(VLOOKUP($D1450,Sheet1!$M$5:$O$192,3,TRUE),1)</f>
        <v>92</v>
      </c>
      <c r="S1450" s="42" t="str">
        <f>VLOOKUP($D1450,Sheet1!$M$5:$O$192,2,TRUE)</f>
        <v>'//|</v>
      </c>
      <c r="T1450" s="117">
        <f>IF(ABS(D1450-VLOOKUP($D1450,Sheet1!$M$5:$T$192,8,TRUE))&lt;10^-10,"SoCA",D1450-VLOOKUP($D1450,Sheet1!$M$5:$T$192,8,TRUE))</f>
        <v>-5.7809816767068867E-2</v>
      </c>
      <c r="U1450" s="109" t="str">
        <f>IF(VLOOKUP($D1450,Sheet1!$M$5:$U$192,9,TRUE)=0,"",IF(ABS(D1450-VLOOKUP($D1450,Sheet1!$M$5:$U$192,9,TRUE))&lt;10^-10,"Alt.",D1450-VLOOKUP($D1450,Sheet1!$M$5:$U$192,9,TRUE)))</f>
        <v/>
      </c>
      <c r="V1450" s="132">
        <f>$D1450-Sheet1!$M$3*$R1450</f>
        <v>1.9989918633271486E-2</v>
      </c>
      <c r="Z1450" s="6"/>
      <c r="AA1450" s="61"/>
    </row>
    <row r="1451" spans="1:27" ht="13.5">
      <c r="A1451" s="38" t="s">
        <v>181</v>
      </c>
      <c r="B1451" s="38">
        <f>3*5^2</f>
        <v>75</v>
      </c>
      <c r="C1451" s="38">
        <f>7*11</f>
        <v>77</v>
      </c>
      <c r="D1451" s="13">
        <f t="shared" si="29"/>
        <v>45.561420238824496</v>
      </c>
      <c r="E1451" s="61">
        <v>11</v>
      </c>
      <c r="F1451" s="65">
        <v>28.150133426523169</v>
      </c>
      <c r="G1451" s="6">
        <v>104</v>
      </c>
      <c r="H1451" s="6">
        <v>100</v>
      </c>
      <c r="I1451" s="65">
        <v>-3.8053826333955372</v>
      </c>
      <c r="J1451" s="6">
        <f>VLOOKUP($D1451,Sheet1!$A$5:$C$192,3,TRUE)</f>
        <v>8</v>
      </c>
      <c r="K1451" s="42" t="str">
        <f>VLOOKUP($D1451,Sheet1!$A$5:$C$192,2,TRUE)</f>
        <v>//|</v>
      </c>
      <c r="L1451" s="6">
        <f>FLOOR(VLOOKUP($D1451,Sheet1!$D$5:$F$192,3,TRUE),1)</f>
        <v>19</v>
      </c>
      <c r="M1451" s="42" t="str">
        <f>VLOOKUP($D1451,Sheet1!$D$5:$F$192,2,TRUE)</f>
        <v>)//|</v>
      </c>
      <c r="N1451" s="23">
        <f>FLOOR(VLOOKUP($D1451,Sheet1!$G$5:$I$192,3,TRUE),1)</f>
        <v>23</v>
      </c>
      <c r="O1451" s="42" t="str">
        <f>VLOOKUP($D1451,Sheet1!$G$5:$I$192,2,TRUE)</f>
        <v>'//|</v>
      </c>
      <c r="P1451" s="23">
        <v>1</v>
      </c>
      <c r="Q1451" s="45" t="str">
        <f>VLOOKUP($D1451,Sheet1!$J$5:$L$192,2,TRUE)</f>
        <v>'//|'</v>
      </c>
      <c r="R1451" s="38">
        <f>FLOOR(VLOOKUP($D1451,Sheet1!$M$5:$O$192,3,TRUE),1)</f>
        <v>93</v>
      </c>
      <c r="S1451" s="45" t="str">
        <f>VLOOKUP($D1451,Sheet1!$M$5:$O$192,2,TRUE)</f>
        <v>'//|'</v>
      </c>
      <c r="T1451" s="108">
        <f>IF(ABS(D1451-VLOOKUP($D1451,Sheet1!$M$5:$T$192,8,TRUE))&lt;10^-10,"SoCA",D1451-VLOOKUP($D1451,Sheet1!$M$5:$T$192,8,TRUE))</f>
        <v>0.17240409150582536</v>
      </c>
      <c r="U1451" s="108">
        <f>IF(VLOOKUP($D1451,Sheet1!$M$5:$U$192,9,TRUE)=0,"",IF(ABS(D1451-VLOOKUP($D1451,Sheet1!$M$5:$U$192,9,TRUE))&lt;10^-10,"Alt.",D1451-VLOOKUP($D1451,Sheet1!$M$5:$U$192,9,TRUE)))</f>
        <v>0.19936438670826107</v>
      </c>
      <c r="V1451" s="133">
        <f>$D1451-Sheet1!$M$3*$R1451</f>
        <v>0.18500151192660041</v>
      </c>
      <c r="Z1451" s="6"/>
      <c r="AA1451" s="61"/>
    </row>
    <row r="1452" spans="1:27" ht="13.5">
      <c r="A1452" s="23" t="s">
        <v>333</v>
      </c>
      <c r="B1452" s="23">
        <f>3^6*13</f>
        <v>9477</v>
      </c>
      <c r="C1452" s="23">
        <f>2^9*19</f>
        <v>9728</v>
      </c>
      <c r="D1452" s="13">
        <f t="shared" si="29"/>
        <v>45.2553491706675</v>
      </c>
      <c r="E1452" s="61">
        <v>19</v>
      </c>
      <c r="F1452" s="65">
        <v>36.924511236512316</v>
      </c>
      <c r="G1452" s="6">
        <v>145</v>
      </c>
      <c r="H1452" s="6">
        <v>166</v>
      </c>
      <c r="I1452" s="65">
        <v>-8.7865367226514994</v>
      </c>
      <c r="J1452" s="6">
        <f>VLOOKUP($D1452,Sheet1!$A$5:$C$192,3,TRUE)</f>
        <v>8</v>
      </c>
      <c r="K1452" s="42" t="str">
        <f>VLOOKUP($D1452,Sheet1!$A$5:$C$192,2,TRUE)</f>
        <v>//|</v>
      </c>
      <c r="L1452" s="6">
        <f>FLOOR(VLOOKUP($D1452,Sheet1!$D$5:$F$192,3,TRUE),1)</f>
        <v>19</v>
      </c>
      <c r="M1452" s="42" t="str">
        <f>VLOOKUP($D1452,Sheet1!$D$5:$F$192,2,TRUE)</f>
        <v>)//|</v>
      </c>
      <c r="N1452" s="23">
        <f>FLOOR(VLOOKUP($D1452,Sheet1!$G$5:$I$192,3,TRUE),1)</f>
        <v>23</v>
      </c>
      <c r="O1452" s="42" t="str">
        <f>VLOOKUP($D1452,Sheet1!$G$5:$I$192,2,TRUE)</f>
        <v>'//|</v>
      </c>
      <c r="P1452" s="23">
        <v>1</v>
      </c>
      <c r="Q1452" s="43" t="str">
        <f>VLOOKUP($D1452,Sheet1!$J$5:$L$192,2,TRUE)</f>
        <v>'//|'</v>
      </c>
      <c r="R1452" s="23">
        <f>FLOOR(VLOOKUP($D1452,Sheet1!$M$5:$O$192,3,TRUE),1)</f>
        <v>93</v>
      </c>
      <c r="S1452" s="43" t="str">
        <f>VLOOKUP($D1452,Sheet1!$M$5:$O$192,2,TRUE)</f>
        <v>'//|'</v>
      </c>
      <c r="T1452" s="117">
        <f>IF(ABS(D1452-VLOOKUP($D1452,Sheet1!$M$5:$T$192,8,TRUE))&lt;10^-10,"SoCA",D1452-VLOOKUP($D1452,Sheet1!$M$5:$T$192,8,TRUE))</f>
        <v>-0.13366697665117044</v>
      </c>
      <c r="U1452" s="117">
        <f>IF(VLOOKUP($D1452,Sheet1!$M$5:$U$192,9,TRUE)=0,"",IF(ABS(D1452-VLOOKUP($D1452,Sheet1!$M$5:$U$192,9,TRUE))&lt;10^-10,"Alt.",D1452-VLOOKUP($D1452,Sheet1!$M$5:$U$192,9,TRUE)))</f>
        <v>-0.10670668144873474</v>
      </c>
      <c r="V1452" s="134">
        <f>$D1452-Sheet1!$M$3*$R1452</f>
        <v>-0.12106955623039539</v>
      </c>
      <c r="Z1452" s="6"/>
      <c r="AA1452" s="61"/>
    </row>
    <row r="1453" spans="1:27" ht="13.5">
      <c r="A1453" s="6" t="s">
        <v>321</v>
      </c>
      <c r="B1453" s="18">
        <f>2^24</f>
        <v>16777216</v>
      </c>
      <c r="C1453" s="18">
        <f>3^9*5^3*7</f>
        <v>17222625</v>
      </c>
      <c r="D1453" s="13">
        <f t="shared" si="29"/>
        <v>45.362055852116143</v>
      </c>
      <c r="E1453" s="61">
        <v>7</v>
      </c>
      <c r="F1453" s="65">
        <v>44.742883020152185</v>
      </c>
      <c r="G1453" s="6">
        <v>154</v>
      </c>
      <c r="H1453" s="6">
        <v>152</v>
      </c>
      <c r="I1453" s="65">
        <v>6.2068929582181021</v>
      </c>
      <c r="J1453" s="6">
        <f>VLOOKUP($D1453,Sheet1!$A$5:$C$192,3,TRUE)</f>
        <v>8</v>
      </c>
      <c r="K1453" s="42" t="str">
        <f>VLOOKUP($D1453,Sheet1!$A$5:$C$192,2,TRUE)</f>
        <v>//|</v>
      </c>
      <c r="L1453" s="6">
        <f>FLOOR(VLOOKUP($D1453,Sheet1!$D$5:$F$192,3,TRUE),1)</f>
        <v>19</v>
      </c>
      <c r="M1453" s="42" t="str">
        <f>VLOOKUP($D1453,Sheet1!$D$5:$F$192,2,TRUE)</f>
        <v>)//|</v>
      </c>
      <c r="N1453" s="23">
        <f>FLOOR(VLOOKUP($D1453,Sheet1!$G$5:$I$192,3,TRUE),1)</f>
        <v>23</v>
      </c>
      <c r="O1453" s="42" t="str">
        <f>VLOOKUP($D1453,Sheet1!$G$5:$I$192,2,TRUE)</f>
        <v>'//|</v>
      </c>
      <c r="P1453" s="23">
        <v>1</v>
      </c>
      <c r="Q1453" s="43" t="str">
        <f>VLOOKUP($D1453,Sheet1!$J$5:$L$192,2,TRUE)</f>
        <v>'//|'</v>
      </c>
      <c r="R1453" s="23">
        <f>FLOOR(VLOOKUP($D1453,Sheet1!$M$5:$O$192,3,TRUE),1)</f>
        <v>93</v>
      </c>
      <c r="S1453" s="42" t="str">
        <f>VLOOKUP($D1453,Sheet1!$M$5:$O$192,2,TRUE)</f>
        <v>'//|'</v>
      </c>
      <c r="T1453" s="117">
        <f>IF(ABS(D1453-VLOOKUP($D1453,Sheet1!$M$5:$T$192,8,TRUE))&lt;10^-10,"SoCA",D1453-VLOOKUP($D1453,Sheet1!$M$5:$T$192,8,TRUE))</f>
        <v>-2.6960295202528073E-2</v>
      </c>
      <c r="U1453" s="125" t="str">
        <f>IF(VLOOKUP($D1453,Sheet1!$M$5:$U$192,9,TRUE)=0,"",IF(ABS(D1453-VLOOKUP($D1453,Sheet1!$M$5:$U$192,9,TRUE))&lt;10^-10,"Alt.",D1453-VLOOKUP($D1453,Sheet1!$M$5:$U$192,9,TRUE)))</f>
        <v>Alt.</v>
      </c>
      <c r="V1453" s="132">
        <f>$D1453-Sheet1!$M$3*$R1453</f>
        <v>-1.4362874781753021E-2</v>
      </c>
      <c r="Z1453" s="6"/>
      <c r="AA1453" s="61"/>
    </row>
    <row r="1454" spans="1:27" ht="13.5">
      <c r="A1454" t="s">
        <v>670</v>
      </c>
      <c r="B1454">
        <v>229376</v>
      </c>
      <c r="C1454">
        <v>235467</v>
      </c>
      <c r="D1454" s="13">
        <f t="shared" si="29"/>
        <v>45.372524355909349</v>
      </c>
      <c r="E1454" s="61">
        <v>19</v>
      </c>
      <c r="F1454" s="65">
        <v>52.369972690961056</v>
      </c>
      <c r="G1454" s="6">
        <v>560</v>
      </c>
      <c r="H1454" s="6">
        <v>515</v>
      </c>
      <c r="I1454" s="65">
        <v>3.206248374300718</v>
      </c>
      <c r="J1454" s="6">
        <f>VLOOKUP($D1454,Sheet1!$A$5:$C$192,3,TRUE)</f>
        <v>8</v>
      </c>
      <c r="K1454" s="42" t="str">
        <f>VLOOKUP($D1454,Sheet1!$A$5:$C$192,2,TRUE)</f>
        <v>//|</v>
      </c>
      <c r="L1454" s="6">
        <f>FLOOR(VLOOKUP($D1454,Sheet1!$D$5:$F$192,3,TRUE),1)</f>
        <v>19</v>
      </c>
      <c r="M1454" s="42" t="str">
        <f>VLOOKUP($D1454,Sheet1!$D$5:$F$192,2,TRUE)</f>
        <v>)//|</v>
      </c>
      <c r="N1454" s="23">
        <f>FLOOR(VLOOKUP($D1454,Sheet1!$G$5:$I$192,3,TRUE),1)</f>
        <v>23</v>
      </c>
      <c r="O1454" s="42" t="str">
        <f>VLOOKUP($D1454,Sheet1!$G$5:$I$192,2,TRUE)</f>
        <v>'//|</v>
      </c>
      <c r="P1454" s="23">
        <v>1</v>
      </c>
      <c r="Q1454" s="43" t="str">
        <f>VLOOKUP($D1454,Sheet1!$J$5:$L$192,2,TRUE)</f>
        <v>'//|'</v>
      </c>
      <c r="R1454" s="23">
        <f>FLOOR(VLOOKUP($D1454,Sheet1!$M$5:$O$192,3,TRUE),1)</f>
        <v>93</v>
      </c>
      <c r="S1454" s="42" t="str">
        <f>VLOOKUP($D1454,Sheet1!$M$5:$O$192,2,TRUE)</f>
        <v>'//|'</v>
      </c>
      <c r="T1454" s="117">
        <f>IF(ABS(D1454-VLOOKUP($D1454,Sheet1!$M$5:$T$192,8,TRUE))&lt;10^-10,"SoCA",D1454-VLOOKUP($D1454,Sheet1!$M$5:$T$192,8,TRUE))</f>
        <v>-1.6491791409322332E-2</v>
      </c>
      <c r="U1454" s="109">
        <f>IF(VLOOKUP($D1454,Sheet1!$M$5:$U$192,9,TRUE)=0,"",IF(ABS(D1454-VLOOKUP($D1454,Sheet1!$M$5:$U$192,9,TRUE))&lt;10^-10,"Alt.",D1454-VLOOKUP($D1454,Sheet1!$M$5:$U$192,9,TRUE)))</f>
        <v>1.0468503793113371E-2</v>
      </c>
      <c r="V1454" s="132">
        <f>$D1454-Sheet1!$M$3*$R1454</f>
        <v>-3.8943709885472799E-3</v>
      </c>
      <c r="Z1454" s="6"/>
      <c r="AA1454" s="61"/>
    </row>
    <row r="1455" spans="1:27" ht="13.5">
      <c r="A1455" t="s">
        <v>589</v>
      </c>
      <c r="B1455">
        <v>2288</v>
      </c>
      <c r="C1455">
        <v>2349</v>
      </c>
      <c r="D1455" s="13">
        <f t="shared" si="29"/>
        <v>45.551593480568926</v>
      </c>
      <c r="E1455" s="61">
        <v>29</v>
      </c>
      <c r="F1455" s="65">
        <v>63.802446129449436</v>
      </c>
      <c r="G1455" s="6">
        <v>487</v>
      </c>
      <c r="H1455" s="6">
        <v>434</v>
      </c>
      <c r="I1455" s="65">
        <v>1.1952224359110883</v>
      </c>
      <c r="J1455" s="6">
        <f>VLOOKUP($D1455,Sheet1!$A$5:$C$192,3,TRUE)</f>
        <v>8</v>
      </c>
      <c r="K1455" s="42" t="str">
        <f>VLOOKUP($D1455,Sheet1!$A$5:$C$192,2,TRUE)</f>
        <v>//|</v>
      </c>
      <c r="L1455" s="6">
        <f>FLOOR(VLOOKUP($D1455,Sheet1!$D$5:$F$192,3,TRUE),1)</f>
        <v>19</v>
      </c>
      <c r="M1455" s="42" t="str">
        <f>VLOOKUP($D1455,Sheet1!$D$5:$F$192,2,TRUE)</f>
        <v>)//|</v>
      </c>
      <c r="N1455" s="23">
        <f>FLOOR(VLOOKUP($D1455,Sheet1!$G$5:$I$192,3,TRUE),1)</f>
        <v>23</v>
      </c>
      <c r="O1455" s="42" t="str">
        <f>VLOOKUP($D1455,Sheet1!$G$5:$I$192,2,TRUE)</f>
        <v>'//|</v>
      </c>
      <c r="P1455" s="23">
        <v>1</v>
      </c>
      <c r="Q1455" s="43" t="str">
        <f>VLOOKUP($D1455,Sheet1!$J$5:$L$192,2,TRUE)</f>
        <v>'//|'</v>
      </c>
      <c r="R1455" s="23">
        <f>FLOOR(VLOOKUP($D1455,Sheet1!$M$5:$O$192,3,TRUE),1)</f>
        <v>93</v>
      </c>
      <c r="S1455" s="42" t="str">
        <f>VLOOKUP($D1455,Sheet1!$M$5:$O$192,2,TRUE)</f>
        <v>'//|'</v>
      </c>
      <c r="T1455" s="117">
        <f>IF(ABS(D1455-VLOOKUP($D1455,Sheet1!$M$5:$T$192,8,TRUE))&lt;10^-10,"SoCA",D1455-VLOOKUP($D1455,Sheet1!$M$5:$T$192,8,TRUE))</f>
        <v>0.1625773332502547</v>
      </c>
      <c r="U1455" s="109">
        <f>IF(VLOOKUP($D1455,Sheet1!$M$5:$U$192,9,TRUE)=0,"",IF(ABS(D1455-VLOOKUP($D1455,Sheet1!$M$5:$U$192,9,TRUE))&lt;10^-10,"Alt.",D1455-VLOOKUP($D1455,Sheet1!$M$5:$U$192,9,TRUE)))</f>
        <v>0.1895376284526904</v>
      </c>
      <c r="V1455" s="132">
        <f>$D1455-Sheet1!$M$3*$R1455</f>
        <v>0.17517475367102975</v>
      </c>
      <c r="Z1455" s="6"/>
      <c r="AA1455" s="61"/>
    </row>
    <row r="1456" spans="1:27" ht="13.5">
      <c r="A1456" s="6" t="s">
        <v>413</v>
      </c>
      <c r="B1456" s="6">
        <f>2^9*43</f>
        <v>22016</v>
      </c>
      <c r="C1456" s="6">
        <f>3^6*31</f>
        <v>22599</v>
      </c>
      <c r="D1456" s="13">
        <f t="shared" si="29"/>
        <v>45.247872014057187</v>
      </c>
      <c r="E1456" s="61">
        <v>43</v>
      </c>
      <c r="F1456" s="65">
        <v>74.876565298658832</v>
      </c>
      <c r="G1456" s="6">
        <v>269</v>
      </c>
      <c r="H1456" s="6">
        <v>250</v>
      </c>
      <c r="I1456" s="65">
        <v>3.2139236731217617</v>
      </c>
      <c r="J1456" s="6">
        <f>VLOOKUP($D1456,Sheet1!$A$5:$C$192,3,TRUE)</f>
        <v>8</v>
      </c>
      <c r="K1456" s="42" t="str">
        <f>VLOOKUP($D1456,Sheet1!$A$5:$C$192,2,TRUE)</f>
        <v>//|</v>
      </c>
      <c r="L1456" s="6">
        <f>FLOOR(VLOOKUP($D1456,Sheet1!$D$5:$F$192,3,TRUE),1)</f>
        <v>19</v>
      </c>
      <c r="M1456" s="42" t="str">
        <f>VLOOKUP($D1456,Sheet1!$D$5:$F$192,2,TRUE)</f>
        <v>)//|</v>
      </c>
      <c r="N1456" s="23">
        <f>FLOOR(VLOOKUP($D1456,Sheet1!$G$5:$I$192,3,TRUE),1)</f>
        <v>23</v>
      </c>
      <c r="O1456" s="42" t="str">
        <f>VLOOKUP($D1456,Sheet1!$G$5:$I$192,2,TRUE)</f>
        <v>'//|</v>
      </c>
      <c r="P1456" s="23">
        <v>1</v>
      </c>
      <c r="Q1456" s="43" t="str">
        <f>VLOOKUP($D1456,Sheet1!$J$5:$L$192,2,TRUE)</f>
        <v>'//|'</v>
      </c>
      <c r="R1456" s="23">
        <f>FLOOR(VLOOKUP($D1456,Sheet1!$M$5:$O$192,3,TRUE),1)</f>
        <v>93</v>
      </c>
      <c r="S1456" s="42" t="str">
        <f>VLOOKUP($D1456,Sheet1!$M$5:$O$192,2,TRUE)</f>
        <v>'//|'</v>
      </c>
      <c r="T1456" s="117">
        <f>IF(ABS(D1456-VLOOKUP($D1456,Sheet1!$M$5:$T$192,8,TRUE))&lt;10^-10,"SoCA",D1456-VLOOKUP($D1456,Sheet1!$M$5:$T$192,8,TRUE))</f>
        <v>-0.14114413326148423</v>
      </c>
      <c r="U1456" s="109">
        <f>IF(VLOOKUP($D1456,Sheet1!$M$5:$U$192,9,TRUE)=0,"",IF(ABS(D1456-VLOOKUP($D1456,Sheet1!$M$5:$U$192,9,TRUE))&lt;10^-10,"Alt.",D1456-VLOOKUP($D1456,Sheet1!$M$5:$U$192,9,TRUE)))</f>
        <v>-0.11418383805904853</v>
      </c>
      <c r="V1456" s="132">
        <f>$D1456-Sheet1!$M$3*$R1456</f>
        <v>-0.12854671284070918</v>
      </c>
      <c r="Z1456" s="6"/>
      <c r="AA1456" s="61"/>
    </row>
    <row r="1457" spans="1:27" ht="13.5">
      <c r="A1457" s="6" t="s">
        <v>332</v>
      </c>
      <c r="B1457" s="6">
        <f>2^7*5</f>
        <v>640</v>
      </c>
      <c r="C1457" s="6">
        <f>3^2*73</f>
        <v>657</v>
      </c>
      <c r="D1457" s="13">
        <f t="shared" si="29"/>
        <v>45.385758521960774</v>
      </c>
      <c r="E1457" s="61" t="s">
        <v>1931</v>
      </c>
      <c r="F1457" s="65">
        <v>78.069409650162399</v>
      </c>
      <c r="G1457" s="6">
        <v>189</v>
      </c>
      <c r="H1457" s="6">
        <v>165</v>
      </c>
      <c r="I1457" s="65">
        <v>-0.79456650151776032</v>
      </c>
      <c r="J1457" s="6">
        <f>VLOOKUP($D1457,Sheet1!$A$5:$C$192,3,TRUE)</f>
        <v>8</v>
      </c>
      <c r="K1457" s="42" t="str">
        <f>VLOOKUP($D1457,Sheet1!$A$5:$C$192,2,TRUE)</f>
        <v>//|</v>
      </c>
      <c r="L1457" s="6">
        <f>FLOOR(VLOOKUP($D1457,Sheet1!$D$5:$F$192,3,TRUE),1)</f>
        <v>19</v>
      </c>
      <c r="M1457" s="42" t="str">
        <f>VLOOKUP($D1457,Sheet1!$D$5:$F$192,2,TRUE)</f>
        <v>)//|</v>
      </c>
      <c r="N1457" s="23">
        <f>FLOOR(VLOOKUP($D1457,Sheet1!$G$5:$I$192,3,TRUE),1)</f>
        <v>23</v>
      </c>
      <c r="O1457" s="42" t="str">
        <f>VLOOKUP($D1457,Sheet1!$G$5:$I$192,2,TRUE)</f>
        <v>'//|</v>
      </c>
      <c r="P1457" s="23">
        <v>1</v>
      </c>
      <c r="Q1457" s="43" t="str">
        <f>VLOOKUP($D1457,Sheet1!$J$5:$L$192,2,TRUE)</f>
        <v>'//|'</v>
      </c>
      <c r="R1457" s="23">
        <f>FLOOR(VLOOKUP($D1457,Sheet1!$M$5:$O$192,3,TRUE),1)</f>
        <v>93</v>
      </c>
      <c r="S1457" s="42" t="str">
        <f>VLOOKUP($D1457,Sheet1!$M$5:$O$192,2,TRUE)</f>
        <v>'//|'</v>
      </c>
      <c r="T1457" s="117">
        <f>IF(ABS(D1457-VLOOKUP($D1457,Sheet1!$M$5:$T$192,8,TRUE))&lt;10^-10,"SoCA",D1457-VLOOKUP($D1457,Sheet1!$M$5:$T$192,8,TRUE))</f>
        <v>-3.257625357896643E-3</v>
      </c>
      <c r="U1457" s="109">
        <f>IF(VLOOKUP($D1457,Sheet1!$M$5:$U$192,9,TRUE)=0,"",IF(ABS(D1457-VLOOKUP($D1457,Sheet1!$M$5:$U$192,9,TRUE))&lt;10^-10,"Alt.",D1457-VLOOKUP($D1457,Sheet1!$M$5:$U$192,9,TRUE)))</f>
        <v>2.3702669844539059E-2</v>
      </c>
      <c r="V1457" s="132">
        <f>$D1457-Sheet1!$M$3*$R1457</f>
        <v>9.3397950628784088E-3</v>
      </c>
      <c r="Z1457" s="6"/>
      <c r="AA1457" s="61"/>
    </row>
    <row r="1458" spans="1:27" ht="13.5">
      <c r="A1458" s="6" t="s">
        <v>1856</v>
      </c>
      <c r="B1458">
        <v>1659933</v>
      </c>
      <c r="C1458">
        <v>1703936</v>
      </c>
      <c r="D1458" s="13">
        <f t="shared" si="29"/>
        <v>45.295365213039105</v>
      </c>
      <c r="E1458" s="61">
        <v>23</v>
      </c>
      <c r="F1458" s="65">
        <v>78.171937947370111</v>
      </c>
      <c r="G1458" s="59">
        <v>1688</v>
      </c>
      <c r="H1458" s="63">
        <v>1000061</v>
      </c>
      <c r="I1458" s="65">
        <v>-10.789000656166699</v>
      </c>
      <c r="J1458" s="6">
        <f>VLOOKUP($D1458,Sheet1!$A$5:$C$192,3,TRUE)</f>
        <v>8</v>
      </c>
      <c r="K1458" s="42" t="str">
        <f>VLOOKUP($D1458,Sheet1!$A$5:$C$192,2,TRUE)</f>
        <v>//|</v>
      </c>
      <c r="L1458" s="6">
        <f>FLOOR(VLOOKUP($D1458,Sheet1!$D$5:$F$192,3,TRUE),1)</f>
        <v>19</v>
      </c>
      <c r="M1458" s="42" t="str">
        <f>VLOOKUP($D1458,Sheet1!$D$5:$F$192,2,TRUE)</f>
        <v>)//|</v>
      </c>
      <c r="N1458" s="23">
        <f>FLOOR(VLOOKUP($D1458,Sheet1!$G$5:$I$192,3,TRUE),1)</f>
        <v>23</v>
      </c>
      <c r="O1458" s="42" t="str">
        <f>VLOOKUP($D1458,Sheet1!$G$5:$I$192,2,TRUE)</f>
        <v>'//|</v>
      </c>
      <c r="P1458" s="23">
        <v>1</v>
      </c>
      <c r="Q1458" s="43" t="str">
        <f>VLOOKUP($D1458,Sheet1!$J$5:$L$192,2,TRUE)</f>
        <v>'//|'</v>
      </c>
      <c r="R1458" s="23">
        <f>FLOOR(VLOOKUP($D1458,Sheet1!$M$5:$O$192,3,TRUE),1)</f>
        <v>93</v>
      </c>
      <c r="S1458" s="42" t="str">
        <f>VLOOKUP($D1458,Sheet1!$M$5:$O$192,2,TRUE)</f>
        <v>'//|'</v>
      </c>
      <c r="T1458" s="117">
        <f>IF(ABS(D1458-VLOOKUP($D1458,Sheet1!$M$5:$T$192,8,TRUE))&lt;10^-10,"SoCA",D1458-VLOOKUP($D1458,Sheet1!$M$5:$T$192,8,TRUE))</f>
        <v>-9.3650934279565945E-2</v>
      </c>
      <c r="U1458" s="109">
        <f>IF(VLOOKUP($D1458,Sheet1!$M$5:$U$192,9,TRUE)=0,"",IF(ABS(D1458-VLOOKUP($D1458,Sheet1!$M$5:$U$192,9,TRUE))&lt;10^-10,"Alt.",D1458-VLOOKUP($D1458,Sheet1!$M$5:$U$192,9,TRUE)))</f>
        <v>-6.6690639077130243E-2</v>
      </c>
      <c r="V1458" s="132">
        <f>$D1458-Sheet1!$M$3*$R1458</f>
        <v>-8.1053513858790893E-2</v>
      </c>
      <c r="Z1458" s="6"/>
      <c r="AA1458" s="61"/>
    </row>
    <row r="1459" spans="1:27" ht="13.5">
      <c r="A1459" t="s">
        <v>457</v>
      </c>
      <c r="B1459">
        <v>189</v>
      </c>
      <c r="C1459">
        <v>194</v>
      </c>
      <c r="D1459" s="13">
        <f t="shared" si="29"/>
        <v>45.204501559266127</v>
      </c>
      <c r="E1459" s="61" t="s">
        <v>1931</v>
      </c>
      <c r="F1459" s="65">
        <v>104.81251179945632</v>
      </c>
      <c r="G1459" s="6">
        <v>303</v>
      </c>
      <c r="H1459" s="6">
        <v>295</v>
      </c>
      <c r="I1459" s="65">
        <v>-5.7834058499695828</v>
      </c>
      <c r="J1459" s="6">
        <f>VLOOKUP($D1459,Sheet1!$A$5:$C$192,3,TRUE)</f>
        <v>8</v>
      </c>
      <c r="K1459" s="42" t="str">
        <f>VLOOKUP($D1459,Sheet1!$A$5:$C$192,2,TRUE)</f>
        <v>//|</v>
      </c>
      <c r="L1459" s="6">
        <f>FLOOR(VLOOKUP($D1459,Sheet1!$D$5:$F$192,3,TRUE),1)</f>
        <v>19</v>
      </c>
      <c r="M1459" s="42" t="str">
        <f>VLOOKUP($D1459,Sheet1!$D$5:$F$192,2,TRUE)</f>
        <v>)//|</v>
      </c>
      <c r="N1459" s="23">
        <f>FLOOR(VLOOKUP($D1459,Sheet1!$G$5:$I$192,3,TRUE),1)</f>
        <v>23</v>
      </c>
      <c r="O1459" s="42" t="str">
        <f>VLOOKUP($D1459,Sheet1!$G$5:$I$192,2,TRUE)</f>
        <v>'//|</v>
      </c>
      <c r="P1459" s="23">
        <v>1</v>
      </c>
      <c r="Q1459" s="43" t="str">
        <f>VLOOKUP($D1459,Sheet1!$J$5:$L$192,2,TRUE)</f>
        <v>'//|'</v>
      </c>
      <c r="R1459" s="23">
        <f>FLOOR(VLOOKUP($D1459,Sheet1!$M$5:$O$192,3,TRUE),1)</f>
        <v>93</v>
      </c>
      <c r="S1459" s="42" t="str">
        <f>VLOOKUP($D1459,Sheet1!$M$5:$O$192,2,TRUE)</f>
        <v>'//|'</v>
      </c>
      <c r="T1459" s="117">
        <f>IF(ABS(D1459-VLOOKUP($D1459,Sheet1!$M$5:$T$192,8,TRUE))&lt;10^-10,"SoCA",D1459-VLOOKUP($D1459,Sheet1!$M$5:$T$192,8,TRUE))</f>
        <v>-0.18451458805254362</v>
      </c>
      <c r="U1459" s="109">
        <f>IF(VLOOKUP($D1459,Sheet1!$M$5:$U$192,9,TRUE)=0,"",IF(ABS(D1459-VLOOKUP($D1459,Sheet1!$M$5:$U$192,9,TRUE))&lt;10^-10,"Alt.",D1459-VLOOKUP($D1459,Sheet1!$M$5:$U$192,9,TRUE)))</f>
        <v>-0.15755429285010791</v>
      </c>
      <c r="V1459" s="132">
        <f>$D1459-Sheet1!$M$3*$R1459</f>
        <v>-0.17191716763176856</v>
      </c>
      <c r="Z1459" s="6"/>
      <c r="AA1459" s="61"/>
    </row>
    <row r="1460" spans="1:27" ht="13.5">
      <c r="A1460" t="s">
        <v>724</v>
      </c>
      <c r="B1460">
        <v>639</v>
      </c>
      <c r="C1460">
        <v>656</v>
      </c>
      <c r="D1460" s="13">
        <f t="shared" si="29"/>
        <v>45.455860405307021</v>
      </c>
      <c r="E1460" s="61" t="s">
        <v>1931</v>
      </c>
      <c r="F1460" s="65">
        <v>112.41648004077861</v>
      </c>
      <c r="G1460" s="6">
        <v>613</v>
      </c>
      <c r="H1460" s="6">
        <v>569</v>
      </c>
      <c r="I1460" s="65">
        <v>-4.7988829298704552</v>
      </c>
      <c r="J1460" s="6">
        <f>VLOOKUP($D1460,Sheet1!$A$5:$C$192,3,TRUE)</f>
        <v>8</v>
      </c>
      <c r="K1460" s="42" t="str">
        <f>VLOOKUP($D1460,Sheet1!$A$5:$C$192,2,TRUE)</f>
        <v>//|</v>
      </c>
      <c r="L1460" s="6">
        <f>FLOOR(VLOOKUP($D1460,Sheet1!$D$5:$F$192,3,TRUE),1)</f>
        <v>19</v>
      </c>
      <c r="M1460" s="42" t="str">
        <f>VLOOKUP($D1460,Sheet1!$D$5:$F$192,2,TRUE)</f>
        <v>)//|</v>
      </c>
      <c r="N1460" s="23">
        <f>FLOOR(VLOOKUP($D1460,Sheet1!$G$5:$I$192,3,TRUE),1)</f>
        <v>23</v>
      </c>
      <c r="O1460" s="42" t="str">
        <f>VLOOKUP($D1460,Sheet1!$G$5:$I$192,2,TRUE)</f>
        <v>'//|</v>
      </c>
      <c r="P1460" s="23">
        <v>1</v>
      </c>
      <c r="Q1460" s="43" t="str">
        <f>VLOOKUP($D1460,Sheet1!$J$5:$L$192,2,TRUE)</f>
        <v>'//|'</v>
      </c>
      <c r="R1460" s="23">
        <f>FLOOR(VLOOKUP($D1460,Sheet1!$M$5:$O$192,3,TRUE),1)</f>
        <v>93</v>
      </c>
      <c r="S1460" s="42" t="str">
        <f>VLOOKUP($D1460,Sheet1!$M$5:$O$192,2,TRUE)</f>
        <v>'//|'</v>
      </c>
      <c r="T1460" s="117">
        <f>IF(ABS(D1460-VLOOKUP($D1460,Sheet1!$M$5:$T$192,8,TRUE))&lt;10^-10,"SoCA",D1460-VLOOKUP($D1460,Sheet1!$M$5:$T$192,8,TRUE))</f>
        <v>6.6844257988350364E-2</v>
      </c>
      <c r="U1460" s="109">
        <f>IF(VLOOKUP($D1460,Sheet1!$M$5:$U$192,9,TRUE)=0,"",IF(ABS(D1460-VLOOKUP($D1460,Sheet1!$M$5:$U$192,9,TRUE))&lt;10^-10,"Alt.",D1460-VLOOKUP($D1460,Sheet1!$M$5:$U$192,9,TRUE)))</f>
        <v>9.3804553190786066E-2</v>
      </c>
      <c r="V1460" s="132">
        <f>$D1460-Sheet1!$M$3*$R1460</f>
        <v>7.9441678409125416E-2</v>
      </c>
      <c r="Z1460" s="6"/>
      <c r="AA1460" s="61"/>
    </row>
    <row r="1461" spans="1:27" ht="13.5">
      <c r="A1461" t="s">
        <v>1078</v>
      </c>
      <c r="B1461">
        <v>13631488</v>
      </c>
      <c r="C1461">
        <v>13994613</v>
      </c>
      <c r="D1461" s="13">
        <f t="shared" si="29"/>
        <v>45.514245562474429</v>
      </c>
      <c r="E1461" s="61" t="s">
        <v>1931</v>
      </c>
      <c r="F1461" s="65">
        <v>121.38472559130052</v>
      </c>
      <c r="G1461" s="6">
        <v>667</v>
      </c>
      <c r="H1461" s="6">
        <v>927</v>
      </c>
      <c r="I1461" s="65">
        <v>8.1975220832940394</v>
      </c>
      <c r="J1461" s="6">
        <f>VLOOKUP($D1461,Sheet1!$A$5:$C$192,3,TRUE)</f>
        <v>8</v>
      </c>
      <c r="K1461" s="42" t="str">
        <f>VLOOKUP($D1461,Sheet1!$A$5:$C$192,2,TRUE)</f>
        <v>//|</v>
      </c>
      <c r="L1461" s="6">
        <f>FLOOR(VLOOKUP($D1461,Sheet1!$D$5:$F$192,3,TRUE),1)</f>
        <v>19</v>
      </c>
      <c r="M1461" s="42" t="str">
        <f>VLOOKUP($D1461,Sheet1!$D$5:$F$192,2,TRUE)</f>
        <v>)//|</v>
      </c>
      <c r="N1461" s="23">
        <f>FLOOR(VLOOKUP($D1461,Sheet1!$G$5:$I$192,3,TRUE),1)</f>
        <v>23</v>
      </c>
      <c r="O1461" s="42" t="str">
        <f>VLOOKUP($D1461,Sheet1!$G$5:$I$192,2,TRUE)</f>
        <v>'//|</v>
      </c>
      <c r="P1461" s="23">
        <v>1</v>
      </c>
      <c r="Q1461" s="43" t="str">
        <f>VLOOKUP($D1461,Sheet1!$J$5:$L$192,2,TRUE)</f>
        <v>'//|'</v>
      </c>
      <c r="R1461" s="23">
        <f>FLOOR(VLOOKUP($D1461,Sheet1!$M$5:$O$192,3,TRUE),1)</f>
        <v>93</v>
      </c>
      <c r="S1461" s="42" t="str">
        <f>VLOOKUP($D1461,Sheet1!$M$5:$O$192,2,TRUE)</f>
        <v>'//|'</v>
      </c>
      <c r="T1461" s="117">
        <f>IF(ABS(D1461-VLOOKUP($D1461,Sheet1!$M$5:$T$192,8,TRUE))&lt;10^-10,"SoCA",D1461-VLOOKUP($D1461,Sheet1!$M$5:$T$192,8,TRUE))</f>
        <v>0.12522941515575781</v>
      </c>
      <c r="U1461" s="109">
        <f>IF(VLOOKUP($D1461,Sheet1!$M$5:$U$192,9,TRUE)=0,"",IF(ABS(D1461-VLOOKUP($D1461,Sheet1!$M$5:$U$192,9,TRUE))&lt;10^-10,"Alt.",D1461-VLOOKUP($D1461,Sheet1!$M$5:$U$192,9,TRUE)))</f>
        <v>0.15218971035819351</v>
      </c>
      <c r="V1461" s="132">
        <f>$D1461-Sheet1!$M$3*$R1461</f>
        <v>0.13782683557653286</v>
      </c>
      <c r="Z1461" s="6"/>
      <c r="AA1461" s="61"/>
    </row>
    <row r="1462" spans="1:27" ht="13.5">
      <c r="A1462" t="s">
        <v>1239</v>
      </c>
      <c r="B1462">
        <v>2588672</v>
      </c>
      <c r="C1462">
        <v>2657205</v>
      </c>
      <c r="D1462" s="13">
        <f t="shared" si="29"/>
        <v>45.236826436960278</v>
      </c>
      <c r="E1462" s="61" t="s">
        <v>1931</v>
      </c>
      <c r="F1462" s="65">
        <v>141.70491543307782</v>
      </c>
      <c r="G1462" s="6">
        <v>692</v>
      </c>
      <c r="H1462" s="6">
        <v>1088</v>
      </c>
      <c r="I1462" s="65">
        <v>9.2146037895448458</v>
      </c>
      <c r="J1462" s="6">
        <f>VLOOKUP($D1462,Sheet1!$A$5:$C$192,3,TRUE)</f>
        <v>8</v>
      </c>
      <c r="K1462" s="42" t="str">
        <f>VLOOKUP($D1462,Sheet1!$A$5:$C$192,2,TRUE)</f>
        <v>//|</v>
      </c>
      <c r="L1462" s="6">
        <f>FLOOR(VLOOKUP($D1462,Sheet1!$D$5:$F$192,3,TRUE),1)</f>
        <v>19</v>
      </c>
      <c r="M1462" s="42" t="str">
        <f>VLOOKUP($D1462,Sheet1!$D$5:$F$192,2,TRUE)</f>
        <v>)//|</v>
      </c>
      <c r="N1462" s="23">
        <f>FLOOR(VLOOKUP($D1462,Sheet1!$G$5:$I$192,3,TRUE),1)</f>
        <v>23</v>
      </c>
      <c r="O1462" s="42" t="str">
        <f>VLOOKUP($D1462,Sheet1!$G$5:$I$192,2,TRUE)</f>
        <v>'//|</v>
      </c>
      <c r="P1462" s="23">
        <v>1</v>
      </c>
      <c r="Q1462" s="43" t="str">
        <f>VLOOKUP($D1462,Sheet1!$J$5:$L$192,2,TRUE)</f>
        <v>'//|'</v>
      </c>
      <c r="R1462" s="23">
        <f>FLOOR(VLOOKUP($D1462,Sheet1!$M$5:$O$192,3,TRUE),1)</f>
        <v>93</v>
      </c>
      <c r="S1462" s="42" t="str">
        <f>VLOOKUP($D1462,Sheet1!$M$5:$O$192,2,TRUE)</f>
        <v>'//|'</v>
      </c>
      <c r="T1462" s="117">
        <f>IF(ABS(D1462-VLOOKUP($D1462,Sheet1!$M$5:$T$192,8,TRUE))&lt;10^-10,"SoCA",D1462-VLOOKUP($D1462,Sheet1!$M$5:$T$192,8,TRUE))</f>
        <v>-0.15218971035839246</v>
      </c>
      <c r="U1462" s="109">
        <f>IF(VLOOKUP($D1462,Sheet1!$M$5:$U$192,9,TRUE)=0,"",IF(ABS(D1462-VLOOKUP($D1462,Sheet1!$M$5:$U$192,9,TRUE))&lt;10^-10,"Alt.",D1462-VLOOKUP($D1462,Sheet1!$M$5:$U$192,9,TRUE)))</f>
        <v>-0.12522941515595676</v>
      </c>
      <c r="V1462" s="132">
        <f>$D1462-Sheet1!$M$3*$R1462</f>
        <v>-0.13959228993761741</v>
      </c>
      <c r="Z1462" s="6"/>
      <c r="AA1462" s="61"/>
    </row>
    <row r="1463" spans="1:27" ht="13.5">
      <c r="A1463" s="6" t="s">
        <v>357</v>
      </c>
      <c r="B1463" s="6">
        <f>3^2*433</f>
        <v>3897</v>
      </c>
      <c r="C1463" s="6">
        <f>2^5*5^3</f>
        <v>4000</v>
      </c>
      <c r="D1463" s="13">
        <f t="shared" si="29"/>
        <v>45.163282191659704</v>
      </c>
      <c r="E1463" s="61" t="s">
        <v>1931</v>
      </c>
      <c r="F1463" s="65">
        <v>627.73139082109822</v>
      </c>
      <c r="G1463" s="6">
        <v>201</v>
      </c>
      <c r="H1463" s="6">
        <v>192</v>
      </c>
      <c r="I1463" s="65">
        <v>-4.7808678233357238</v>
      </c>
      <c r="J1463" s="6">
        <f>VLOOKUP($D1463,Sheet1!$A$5:$C$192,3,TRUE)</f>
        <v>8</v>
      </c>
      <c r="K1463" s="42" t="str">
        <f>VLOOKUP($D1463,Sheet1!$A$5:$C$192,2,TRUE)</f>
        <v>//|</v>
      </c>
      <c r="L1463" s="6">
        <f>FLOOR(VLOOKUP($D1463,Sheet1!$D$5:$F$192,3,TRUE),1)</f>
        <v>19</v>
      </c>
      <c r="M1463" s="42" t="str">
        <f>VLOOKUP($D1463,Sheet1!$D$5:$F$192,2,TRUE)</f>
        <v>)//|</v>
      </c>
      <c r="N1463" s="23">
        <f>FLOOR(VLOOKUP($D1463,Sheet1!$G$5:$I$192,3,TRUE),1)</f>
        <v>23</v>
      </c>
      <c r="O1463" s="42" t="str">
        <f>VLOOKUP($D1463,Sheet1!$G$5:$I$192,2,TRUE)</f>
        <v>'//|</v>
      </c>
      <c r="P1463" s="23">
        <v>1</v>
      </c>
      <c r="Q1463" s="43" t="str">
        <f>VLOOKUP($D1463,Sheet1!$J$5:$L$192,2,TRUE)</f>
        <v>'//|'</v>
      </c>
      <c r="R1463" s="23">
        <f>FLOOR(VLOOKUP($D1463,Sheet1!$M$5:$O$192,3,TRUE),1)</f>
        <v>93</v>
      </c>
      <c r="S1463" s="42" t="str">
        <f>VLOOKUP($D1463,Sheet1!$M$5:$O$192,2,TRUE)</f>
        <v>'//|'</v>
      </c>
      <c r="T1463" s="117">
        <f>IF(ABS(D1463-VLOOKUP($D1463,Sheet1!$M$5:$T$192,8,TRUE))&lt;10^-10,"SoCA",D1463-VLOOKUP($D1463,Sheet1!$M$5:$T$192,8,TRUE))</f>
        <v>-0.22573395565896703</v>
      </c>
      <c r="U1463" s="109">
        <f>IF(VLOOKUP($D1463,Sheet1!$M$5:$U$192,9,TRUE)=0,"",IF(ABS(D1463-VLOOKUP($D1463,Sheet1!$M$5:$U$192,9,TRUE))&lt;10^-10,"Alt.",D1463-VLOOKUP($D1463,Sheet1!$M$5:$U$192,9,TRUE)))</f>
        <v>-0.19877366045653133</v>
      </c>
      <c r="V1463" s="132">
        <f>$D1463-Sheet1!$M$3*$R1463</f>
        <v>-0.21313653523819198</v>
      </c>
      <c r="Z1463" s="6"/>
      <c r="AA1463" s="61"/>
    </row>
    <row r="1464" spans="1:27" ht="13.5">
      <c r="A1464" t="s">
        <v>547</v>
      </c>
      <c r="B1464">
        <v>120544</v>
      </c>
      <c r="C1464">
        <v>123741</v>
      </c>
      <c r="D1464" s="13">
        <f t="shared" si="29"/>
        <v>45.316505508466243</v>
      </c>
      <c r="E1464" s="61" t="s">
        <v>1931</v>
      </c>
      <c r="F1464" s="65">
        <v>8350.2283873489705</v>
      </c>
      <c r="G1464" s="6">
        <v>465</v>
      </c>
      <c r="H1464" s="6">
        <v>391</v>
      </c>
      <c r="I1464" s="65">
        <v>0.20969765882556279</v>
      </c>
      <c r="J1464" s="6">
        <f>VLOOKUP($D1464,Sheet1!$A$5:$C$192,3,TRUE)</f>
        <v>8</v>
      </c>
      <c r="K1464" s="42" t="str">
        <f>VLOOKUP($D1464,Sheet1!$A$5:$C$192,2,TRUE)</f>
        <v>//|</v>
      </c>
      <c r="L1464" s="6">
        <f>FLOOR(VLOOKUP($D1464,Sheet1!$D$5:$F$192,3,TRUE),1)</f>
        <v>19</v>
      </c>
      <c r="M1464" s="42" t="str">
        <f>VLOOKUP($D1464,Sheet1!$D$5:$F$192,2,TRUE)</f>
        <v>)//|</v>
      </c>
      <c r="N1464" s="23">
        <f>FLOOR(VLOOKUP($D1464,Sheet1!$G$5:$I$192,3,TRUE),1)</f>
        <v>23</v>
      </c>
      <c r="O1464" s="42" t="str">
        <f>VLOOKUP($D1464,Sheet1!$G$5:$I$192,2,TRUE)</f>
        <v>'//|</v>
      </c>
      <c r="P1464" s="23">
        <v>1</v>
      </c>
      <c r="Q1464" s="43" t="str">
        <f>VLOOKUP($D1464,Sheet1!$J$5:$L$192,2,TRUE)</f>
        <v>'//|'</v>
      </c>
      <c r="R1464" s="23">
        <f>FLOOR(VLOOKUP($D1464,Sheet1!$M$5:$O$192,3,TRUE),1)</f>
        <v>93</v>
      </c>
      <c r="S1464" s="42" t="str">
        <f>VLOOKUP($D1464,Sheet1!$M$5:$O$192,2,TRUE)</f>
        <v>'//|'</v>
      </c>
      <c r="T1464" s="117">
        <f>IF(ABS(D1464-VLOOKUP($D1464,Sheet1!$M$5:$T$192,8,TRUE))&lt;10^-10,"SoCA",D1464-VLOOKUP($D1464,Sheet1!$M$5:$T$192,8,TRUE))</f>
        <v>-7.2510638852428144E-2</v>
      </c>
      <c r="U1464" s="109">
        <f>IF(VLOOKUP($D1464,Sheet1!$M$5:$U$192,9,TRUE)=0,"",IF(ABS(D1464-VLOOKUP($D1464,Sheet1!$M$5:$U$192,9,TRUE))&lt;10^-10,"Alt.",D1464-VLOOKUP($D1464,Sheet1!$M$5:$U$192,9,TRUE)))</f>
        <v>-4.5550343649992442E-2</v>
      </c>
      <c r="V1464" s="132">
        <f>$D1464-Sheet1!$M$3*$R1464</f>
        <v>-5.9913218431653092E-2</v>
      </c>
      <c r="Z1464" s="6"/>
      <c r="AA1464" s="61"/>
    </row>
    <row r="1465" spans="1:27" ht="13.5">
      <c r="A1465" s="38" t="s">
        <v>183</v>
      </c>
      <c r="B1465" s="38">
        <f>2^12*13</f>
        <v>53248</v>
      </c>
      <c r="C1465" s="38">
        <f>3^7*5^2</f>
        <v>54675</v>
      </c>
      <c r="D1465" s="13">
        <f t="shared" si="29"/>
        <v>45.784772018070854</v>
      </c>
      <c r="E1465" s="61">
        <v>13</v>
      </c>
      <c r="F1465" s="65">
        <v>28.899300122022218</v>
      </c>
      <c r="G1465" s="6">
        <v>94.1</v>
      </c>
      <c r="H1465" s="6">
        <v>92.1</v>
      </c>
      <c r="I1465" s="65">
        <v>4.1808647838414306</v>
      </c>
      <c r="J1465" s="6">
        <f>VLOOKUP($D1465,Sheet1!$A$5:$C$192,3,TRUE)</f>
        <v>9</v>
      </c>
      <c r="K1465" s="42" t="str">
        <f>VLOOKUP($D1465,Sheet1!$A$5:$C$192,2,TRUE)</f>
        <v>/|)</v>
      </c>
      <c r="L1465" s="6">
        <f>FLOOR(VLOOKUP($D1465,Sheet1!$D$5:$F$192,3,TRUE),1)</f>
        <v>19</v>
      </c>
      <c r="M1465" s="42" t="str">
        <f>VLOOKUP($D1465,Sheet1!$D$5:$F$192,2,TRUE)</f>
        <v>)//|</v>
      </c>
      <c r="N1465" s="23">
        <f>FLOOR(VLOOKUP($D1465,Sheet1!$G$5:$I$192,3,TRUE),1)</f>
        <v>24</v>
      </c>
      <c r="O1465" s="42" t="str">
        <f>VLOOKUP($D1465,Sheet1!$G$5:$I$192,2,TRUE)</f>
        <v>)//|</v>
      </c>
      <c r="P1465" s="23">
        <v>1</v>
      </c>
      <c r="Q1465" s="45" t="str">
        <f>VLOOKUP($D1465,Sheet1!$J$5:$L$192,2,TRUE)</f>
        <v>)//|.</v>
      </c>
      <c r="R1465" s="38">
        <f>FLOOR(VLOOKUP($D1465,Sheet1!$M$5:$O$192,3,TRUE),1)</f>
        <v>94</v>
      </c>
      <c r="S1465" s="45" t="str">
        <f>VLOOKUP($D1465,Sheet1!$M$5:$O$192,2,TRUE)</f>
        <v>)//|.</v>
      </c>
      <c r="T1465" s="108">
        <f>IF(ABS(D1465-VLOOKUP($D1465,Sheet1!$M$5:$T$192,8,TRUE))&lt;10^-10,"SoCA",D1465-VLOOKUP($D1465,Sheet1!$M$5:$T$192,8,TRUE))</f>
        <v>-0.18645625890055584</v>
      </c>
      <c r="U1465" s="108">
        <f>IF(VLOOKUP($D1465,Sheet1!$M$5:$U$192,9,TRUE)=0,"",IF(ABS(D1465-VLOOKUP($D1465,Sheet1!$M$5:$U$192,9,TRUE))&lt;10^-10,"Alt.",D1465-VLOOKUP($D1465,Sheet1!$M$5:$U$192,9,TRUE)))</f>
        <v>-0.21341655410299154</v>
      </c>
      <c r="V1465" s="133">
        <f>$D1465-Sheet1!$M$3*$R1465</f>
        <v>-7.9565189761424904E-2</v>
      </c>
      <c r="Z1465" s="6"/>
      <c r="AA1465" s="61"/>
    </row>
    <row r="1466" spans="1:27" ht="13.5">
      <c r="A1466" s="6" t="s">
        <v>446</v>
      </c>
      <c r="B1466" s="6">
        <f>11*17</f>
        <v>187</v>
      </c>
      <c r="C1466" s="6">
        <f>2^6*3</f>
        <v>192</v>
      </c>
      <c r="D1466" s="13">
        <f t="shared" si="29"/>
        <v>45.681649000223601</v>
      </c>
      <c r="E1466" s="61">
        <v>17</v>
      </c>
      <c r="F1466" s="65">
        <v>39.251794135799479</v>
      </c>
      <c r="G1466" s="6">
        <v>323</v>
      </c>
      <c r="H1466" s="6">
        <v>284</v>
      </c>
      <c r="I1466" s="65">
        <v>-1.8127855562521051</v>
      </c>
      <c r="J1466" s="6">
        <f>VLOOKUP($D1466,Sheet1!$A$5:$C$192,3,TRUE)</f>
        <v>9</v>
      </c>
      <c r="K1466" s="42" t="str">
        <f>VLOOKUP($D1466,Sheet1!$A$5:$C$192,2,TRUE)</f>
        <v>/|)</v>
      </c>
      <c r="L1466" s="6">
        <f>FLOOR(VLOOKUP($D1466,Sheet1!$D$5:$F$192,3,TRUE),1)</f>
        <v>19</v>
      </c>
      <c r="M1466" s="42" t="str">
        <f>VLOOKUP($D1466,Sheet1!$D$5:$F$192,2,TRUE)</f>
        <v>)//|</v>
      </c>
      <c r="N1466" s="23">
        <f>FLOOR(VLOOKUP($D1466,Sheet1!$G$5:$I$192,3,TRUE),1)</f>
        <v>24</v>
      </c>
      <c r="O1466" s="42" t="str">
        <f>VLOOKUP($D1466,Sheet1!$G$5:$I$192,2,TRUE)</f>
        <v>)//|</v>
      </c>
      <c r="P1466" s="23">
        <v>1</v>
      </c>
      <c r="Q1466" s="43" t="str">
        <f>VLOOKUP($D1466,Sheet1!$J$5:$L$192,2,TRUE)</f>
        <v>)//|.</v>
      </c>
      <c r="R1466" s="23">
        <f>FLOOR(VLOOKUP($D1466,Sheet1!$M$5:$O$192,3,TRUE),1)</f>
        <v>94</v>
      </c>
      <c r="S1466" s="42" t="str">
        <f>VLOOKUP($D1466,Sheet1!$M$5:$O$192,2,TRUE)</f>
        <v>)//|.</v>
      </c>
      <c r="T1466" s="117">
        <f>IF(ABS(D1466-VLOOKUP($D1466,Sheet1!$M$5:$T$192,8,TRUE))&lt;10^-10,"SoCA",D1466-VLOOKUP($D1466,Sheet1!$M$5:$T$192,8,TRUE))</f>
        <v>-0.28957927674780848</v>
      </c>
      <c r="U1466" s="109">
        <f>IF(VLOOKUP($D1466,Sheet1!$M$5:$U$192,9,TRUE)=0,"",IF(ABS(D1466-VLOOKUP($D1466,Sheet1!$M$5:$U$192,9,TRUE))&lt;10^-10,"Alt.",D1466-VLOOKUP($D1466,Sheet1!$M$5:$U$192,9,TRUE)))</f>
        <v>-0.31653957195024418</v>
      </c>
      <c r="V1466" s="132">
        <f>$D1466-Sheet1!$M$3*$R1466</f>
        <v>-0.18268820760867754</v>
      </c>
      <c r="Z1466" s="6"/>
      <c r="AA1466" s="61"/>
    </row>
    <row r="1467" spans="1:27" ht="13.5">
      <c r="A1467" s="23" t="s">
        <v>182</v>
      </c>
      <c r="B1467" s="23">
        <f>2^4*7</f>
        <v>112</v>
      </c>
      <c r="C1467" s="23">
        <f>5*23</f>
        <v>115</v>
      </c>
      <c r="D1467" s="13">
        <f t="shared" si="29"/>
        <v>45.762154664125177</v>
      </c>
      <c r="E1467" s="61">
        <v>23</v>
      </c>
      <c r="F1467" s="65">
        <v>42.08029527530875</v>
      </c>
      <c r="G1467" s="6">
        <v>926</v>
      </c>
      <c r="H1467" s="6">
        <v>170.5</v>
      </c>
      <c r="I1467" s="65">
        <v>-2.817742583276627</v>
      </c>
      <c r="J1467" s="6">
        <f>VLOOKUP($D1467,Sheet1!$A$5:$C$192,3,TRUE)</f>
        <v>9</v>
      </c>
      <c r="K1467" s="42" t="str">
        <f>VLOOKUP($D1467,Sheet1!$A$5:$C$192,2,TRUE)</f>
        <v>/|)</v>
      </c>
      <c r="L1467" s="23">
        <f>FLOOR(VLOOKUP($D1467,Sheet1!$D$5:$F$192,3,TRUE),1)</f>
        <v>19</v>
      </c>
      <c r="M1467" s="43" t="str">
        <f>VLOOKUP($D1467,Sheet1!$D$5:$F$192,2,TRUE)</f>
        <v>)//|</v>
      </c>
      <c r="N1467" s="23">
        <f>FLOOR(VLOOKUP($D1467,Sheet1!$G$5:$I$192,3,TRUE),1)</f>
        <v>24</v>
      </c>
      <c r="O1467" s="42" t="str">
        <f>VLOOKUP($D1467,Sheet1!$G$5:$I$192,2,TRUE)</f>
        <v>)//|</v>
      </c>
      <c r="P1467" s="23">
        <v>1</v>
      </c>
      <c r="Q1467" s="43" t="str">
        <f>VLOOKUP($D1467,Sheet1!$J$5:$L$192,2,TRUE)</f>
        <v>)//|.</v>
      </c>
      <c r="R1467" s="23">
        <f>FLOOR(VLOOKUP($D1467,Sheet1!$M$5:$O$192,3,TRUE),1)</f>
        <v>94</v>
      </c>
      <c r="S1467" s="43" t="str">
        <f>VLOOKUP($D1467,Sheet1!$M$5:$O$192,2,TRUE)</f>
        <v>)//|.</v>
      </c>
      <c r="T1467" s="117">
        <f>IF(ABS(D1467-VLOOKUP($D1467,Sheet1!$M$5:$T$192,8,TRUE))&lt;10^-10,"SoCA",D1467-VLOOKUP($D1467,Sheet1!$M$5:$T$192,8,TRUE))</f>
        <v>-0.20907361284623249</v>
      </c>
      <c r="U1467" s="109">
        <f>IF(VLOOKUP($D1467,Sheet1!$M$5:$U$192,9,TRUE)=0,"",IF(ABS(D1467-VLOOKUP($D1467,Sheet1!$M$5:$U$192,9,TRUE))&lt;10^-10,"Alt.",D1467-VLOOKUP($D1467,Sheet1!$M$5:$U$192,9,TRUE)))</f>
        <v>-0.2360339080486682</v>
      </c>
      <c r="V1467" s="132">
        <f>$D1467-Sheet1!$M$3*$R1467</f>
        <v>-0.10218254370710156</v>
      </c>
      <c r="Z1467" s="6"/>
      <c r="AA1467" s="61"/>
    </row>
    <row r="1468" spans="1:27" ht="13.5">
      <c r="A1468" s="23" t="s">
        <v>1206</v>
      </c>
      <c r="B1468" s="23">
        <f>2^7*3^2</f>
        <v>1152</v>
      </c>
      <c r="C1468" s="23">
        <f>7*13^2</f>
        <v>1183</v>
      </c>
      <c r="D1468" s="13">
        <f t="shared" si="29"/>
        <v>45.971228276971452</v>
      </c>
      <c r="E1468" s="61">
        <v>13</v>
      </c>
      <c r="F1468" s="65">
        <v>53.118720712146164</v>
      </c>
      <c r="G1468" s="6">
        <v>1111</v>
      </c>
      <c r="H1468" s="6">
        <v>1055</v>
      </c>
      <c r="I1468" s="65">
        <v>-4.8306160073162143</v>
      </c>
      <c r="J1468" s="6">
        <f>VLOOKUP($D1468,Sheet1!$A$5:$C$192,3,TRUE)</f>
        <v>9</v>
      </c>
      <c r="K1468" s="42" t="str">
        <f>VLOOKUP($D1468,Sheet1!$A$5:$C$192,2,TRUE)</f>
        <v>/|)</v>
      </c>
      <c r="L1468" s="6">
        <f>FLOOR(VLOOKUP($D1468,Sheet1!$D$5:$F$192,3,TRUE),1)</f>
        <v>19</v>
      </c>
      <c r="M1468" s="42" t="str">
        <f>VLOOKUP($D1468,Sheet1!$D$5:$F$192,2,TRUE)</f>
        <v>)//|</v>
      </c>
      <c r="N1468" s="23">
        <f>FLOOR(VLOOKUP($D1468,Sheet1!$G$5:$I$192,3,TRUE),1)</f>
        <v>24</v>
      </c>
      <c r="O1468" s="42" t="str">
        <f>VLOOKUP($D1468,Sheet1!$G$5:$I$192,2,TRUE)</f>
        <v>)//|</v>
      </c>
      <c r="P1468" s="23">
        <v>1</v>
      </c>
      <c r="Q1468" s="43" t="str">
        <f>VLOOKUP($D1468,Sheet1!$J$5:$L$192,2,TRUE)</f>
        <v>)//|.</v>
      </c>
      <c r="R1468" s="23">
        <f>FLOOR(VLOOKUP($D1468,Sheet1!$M$5:$O$192,3,TRUE),1)</f>
        <v>94</v>
      </c>
      <c r="S1468" s="43" t="str">
        <f>VLOOKUP($D1468,Sheet1!$M$5:$O$192,2,TRUE)</f>
        <v>)//|.</v>
      </c>
      <c r="T1468" s="117" t="str">
        <f>IF(ABS(D1468-VLOOKUP($D1468,Sheet1!$M$5:$T$192,8,TRUE))&lt;10^-10,"SoCA",D1468-VLOOKUP($D1468,Sheet1!$M$5:$T$192,8,TRUE))</f>
        <v>SoCA</v>
      </c>
      <c r="U1468" s="117">
        <f>IF(VLOOKUP($D1468,Sheet1!$M$5:$U$192,9,TRUE)=0,"",IF(ABS(D1468-VLOOKUP($D1468,Sheet1!$M$5:$U$192,9,TRUE))&lt;10^-10,"Alt.",D1468-VLOOKUP($D1468,Sheet1!$M$5:$U$192,9,TRUE)))</f>
        <v>-2.696029520239307E-2</v>
      </c>
      <c r="V1468" s="132">
        <f>$D1468-Sheet1!$M$3*$R1468</f>
        <v>0.10689106913917357</v>
      </c>
      <c r="Z1468" s="6"/>
      <c r="AA1468" s="61"/>
    </row>
    <row r="1469" spans="1:27" ht="13.5">
      <c r="A1469" s="23" t="s">
        <v>1718</v>
      </c>
      <c r="B1469" s="23">
        <f>3^7*5*11*13</f>
        <v>1563705</v>
      </c>
      <c r="C1469" s="23">
        <f>2^15*7^2</f>
        <v>1605632</v>
      </c>
      <c r="D1469" s="13">
        <f t="shared" si="29"/>
        <v>45.807488881635713</v>
      </c>
      <c r="E1469" s="61">
        <v>13</v>
      </c>
      <c r="F1469" s="65">
        <v>62.453322871400466</v>
      </c>
      <c r="G1469" s="6">
        <v>1626</v>
      </c>
      <c r="H1469" s="6">
        <v>1567</v>
      </c>
      <c r="I1469" s="65">
        <v>-9.8205339762102977</v>
      </c>
      <c r="J1469" s="6">
        <f>VLOOKUP($D1469,Sheet1!$A$5:$C$192,3,TRUE)</f>
        <v>9</v>
      </c>
      <c r="K1469" s="42" t="str">
        <f>VLOOKUP($D1469,Sheet1!$A$5:$C$192,2,TRUE)</f>
        <v>/|)</v>
      </c>
      <c r="L1469" s="6">
        <f>FLOOR(VLOOKUP($D1469,Sheet1!$D$5:$F$192,3,TRUE),1)</f>
        <v>19</v>
      </c>
      <c r="M1469" s="42" t="str">
        <f>VLOOKUP($D1469,Sheet1!$D$5:$F$192,2,TRUE)</f>
        <v>)//|</v>
      </c>
      <c r="N1469" s="23">
        <f>FLOOR(VLOOKUP($D1469,Sheet1!$G$5:$I$192,3,TRUE),1)</f>
        <v>24</v>
      </c>
      <c r="O1469" s="42" t="str">
        <f>VLOOKUP($D1469,Sheet1!$G$5:$I$192,2,TRUE)</f>
        <v>)//|</v>
      </c>
      <c r="P1469" s="23">
        <v>1</v>
      </c>
      <c r="Q1469" s="43" t="str">
        <f>VLOOKUP($D1469,Sheet1!$J$5:$L$192,2,TRUE)</f>
        <v>)//|.</v>
      </c>
      <c r="R1469" s="23">
        <f>FLOOR(VLOOKUP($D1469,Sheet1!$M$5:$O$192,3,TRUE),1)</f>
        <v>94</v>
      </c>
      <c r="S1469" s="42" t="str">
        <f>VLOOKUP($D1469,Sheet1!$M$5:$O$192,2,TRUE)</f>
        <v>)//|.</v>
      </c>
      <c r="T1469" s="117">
        <f>IF(ABS(D1469-VLOOKUP($D1469,Sheet1!$M$5:$T$192,8,TRUE))&lt;10^-10,"SoCA",D1469-VLOOKUP($D1469,Sheet1!$M$5:$T$192,8,TRUE))</f>
        <v>-0.16373939533569626</v>
      </c>
      <c r="U1469" s="109">
        <f>IF(VLOOKUP($D1469,Sheet1!$M$5:$U$192,9,TRUE)=0,"",IF(ABS(D1469-VLOOKUP($D1469,Sheet1!$M$5:$U$192,9,TRUE))&lt;10^-10,"Alt.",D1469-VLOOKUP($D1469,Sheet1!$M$5:$U$192,9,TRUE)))</f>
        <v>-0.19069969053813196</v>
      </c>
      <c r="V1469" s="132">
        <f>$D1469-Sheet1!$M$3*$R1469</f>
        <v>-5.6848326196565324E-2</v>
      </c>
      <c r="Z1469" s="6"/>
      <c r="AA1469" s="61"/>
    </row>
    <row r="1470" spans="1:27" ht="13.5">
      <c r="A1470" t="s">
        <v>1012</v>
      </c>
      <c r="B1470">
        <v>779</v>
      </c>
      <c r="C1470">
        <v>800</v>
      </c>
      <c r="D1470" s="13">
        <f t="shared" si="29"/>
        <v>46.052006055666538</v>
      </c>
      <c r="E1470" s="61">
        <v>41</v>
      </c>
      <c r="F1470" s="65">
        <v>70.096136104814775</v>
      </c>
      <c r="G1470" s="6">
        <v>928</v>
      </c>
      <c r="H1470" s="6">
        <v>860</v>
      </c>
      <c r="I1470" s="65">
        <v>-2.8355897894399407</v>
      </c>
      <c r="J1470" s="6">
        <f>VLOOKUP($D1470,Sheet1!$A$5:$C$192,3,TRUE)</f>
        <v>9</v>
      </c>
      <c r="K1470" s="42" t="str">
        <f>VLOOKUP($D1470,Sheet1!$A$5:$C$192,2,TRUE)</f>
        <v>/|)</v>
      </c>
      <c r="L1470" s="6">
        <f>FLOOR(VLOOKUP($D1470,Sheet1!$D$5:$F$192,3,TRUE),1)</f>
        <v>19</v>
      </c>
      <c r="M1470" s="42" t="str">
        <f>VLOOKUP($D1470,Sheet1!$D$5:$F$192,2,TRUE)</f>
        <v>)//|</v>
      </c>
      <c r="N1470" s="23">
        <f>FLOOR(VLOOKUP($D1470,Sheet1!$G$5:$I$192,3,TRUE),1)</f>
        <v>24</v>
      </c>
      <c r="O1470" s="42" t="str">
        <f>VLOOKUP($D1470,Sheet1!$G$5:$I$192,2,TRUE)</f>
        <v>)//|</v>
      </c>
      <c r="P1470" s="23">
        <v>1</v>
      </c>
      <c r="Q1470" s="43" t="str">
        <f>VLOOKUP($D1470,Sheet1!$J$5:$L$192,2,TRUE)</f>
        <v>)//|.</v>
      </c>
      <c r="R1470" s="23">
        <f>FLOOR(VLOOKUP($D1470,Sheet1!$M$5:$O$192,3,TRUE),1)</f>
        <v>94</v>
      </c>
      <c r="S1470" s="42" t="str">
        <f>VLOOKUP($D1470,Sheet1!$M$5:$O$192,2,TRUE)</f>
        <v>)//|.</v>
      </c>
      <c r="T1470" s="117">
        <f>IF(ABS(D1470-VLOOKUP($D1470,Sheet1!$M$5:$T$192,8,TRUE))&lt;10^-10,"SoCA",D1470-VLOOKUP($D1470,Sheet1!$M$5:$T$192,8,TRUE))</f>
        <v>8.0777778695129143E-2</v>
      </c>
      <c r="U1470" s="109">
        <f>IF(VLOOKUP($D1470,Sheet1!$M$5:$U$192,9,TRUE)=0,"",IF(ABS(D1470-VLOOKUP($D1470,Sheet1!$M$5:$U$192,9,TRUE))&lt;10^-10,"Alt.",D1470-VLOOKUP($D1470,Sheet1!$M$5:$U$192,9,TRUE)))</f>
        <v>5.3817483492693441E-2</v>
      </c>
      <c r="V1470" s="132">
        <f>$D1470-Sheet1!$M$3*$R1470</f>
        <v>0.18766884783426008</v>
      </c>
      <c r="Z1470" s="6"/>
      <c r="AA1470" s="61"/>
    </row>
    <row r="1471" spans="1:27" ht="13.5">
      <c r="A1471" s="6" t="s">
        <v>499</v>
      </c>
      <c r="B1471" s="6">
        <f>3^5*7^5</f>
        <v>4084101</v>
      </c>
      <c r="C1471" s="6">
        <f>2^22</f>
        <v>4194304</v>
      </c>
      <c r="D1471" s="13">
        <f t="shared" si="29"/>
        <v>46.095463327438168</v>
      </c>
      <c r="E1471" s="61">
        <v>7</v>
      </c>
      <c r="F1471" s="65">
        <v>72.601688975766365</v>
      </c>
      <c r="G1471" s="6">
        <v>315</v>
      </c>
      <c r="H1471" s="6">
        <v>340</v>
      </c>
      <c r="I1471" s="65">
        <v>-7.8382656119863814</v>
      </c>
      <c r="J1471" s="6">
        <f>VLOOKUP($D1471,Sheet1!$A$5:$C$192,3,TRUE)</f>
        <v>9</v>
      </c>
      <c r="K1471" s="42" t="str">
        <f>VLOOKUP($D1471,Sheet1!$A$5:$C$192,2,TRUE)</f>
        <v>/|)</v>
      </c>
      <c r="L1471" s="6">
        <f>FLOOR(VLOOKUP($D1471,Sheet1!$D$5:$F$192,3,TRUE),1)</f>
        <v>19</v>
      </c>
      <c r="M1471" s="42" t="str">
        <f>VLOOKUP($D1471,Sheet1!$D$5:$F$192,2,TRUE)</f>
        <v>)//|</v>
      </c>
      <c r="N1471" s="23">
        <f>FLOOR(VLOOKUP($D1471,Sheet1!$G$5:$I$192,3,TRUE),1)</f>
        <v>24</v>
      </c>
      <c r="O1471" s="42" t="str">
        <f>VLOOKUP($D1471,Sheet1!$G$5:$I$192,2,TRUE)</f>
        <v>)//|</v>
      </c>
      <c r="P1471" s="23">
        <v>1</v>
      </c>
      <c r="Q1471" s="43" t="str">
        <f>VLOOKUP($D1471,Sheet1!$J$5:$L$192,2,TRUE)</f>
        <v>)//|.</v>
      </c>
      <c r="R1471" s="23">
        <f>FLOOR(VLOOKUP($D1471,Sheet1!$M$5:$O$192,3,TRUE),1)</f>
        <v>94</v>
      </c>
      <c r="S1471" s="42" t="str">
        <f>VLOOKUP($D1471,Sheet1!$M$5:$O$192,2,TRUE)</f>
        <v>)//|.</v>
      </c>
      <c r="T1471" s="117">
        <f>IF(ABS(D1471-VLOOKUP($D1471,Sheet1!$M$5:$T$192,8,TRUE))&lt;10^-10,"SoCA",D1471-VLOOKUP($D1471,Sheet1!$M$5:$T$192,8,TRUE))</f>
        <v>0.12423505046675842</v>
      </c>
      <c r="U1471" s="109">
        <f>IF(VLOOKUP($D1471,Sheet1!$M$5:$U$192,9,TRUE)=0,"",IF(ABS(D1471-VLOOKUP($D1471,Sheet1!$M$5:$U$192,9,TRUE))&lt;10^-10,"Alt.",D1471-VLOOKUP($D1471,Sheet1!$M$5:$U$192,9,TRUE)))</f>
        <v>9.7274755264322721E-2</v>
      </c>
      <c r="V1471" s="132">
        <f>$D1471-Sheet1!$M$3*$R1471</f>
        <v>0.23112611960588936</v>
      </c>
      <c r="Z1471" s="6"/>
      <c r="AA1471" s="61"/>
    </row>
    <row r="1472" spans="1:27" ht="13.5">
      <c r="A1472" t="s">
        <v>456</v>
      </c>
      <c r="B1472">
        <v>12544</v>
      </c>
      <c r="C1472">
        <v>12879</v>
      </c>
      <c r="D1472" s="13">
        <f t="shared" si="29"/>
        <v>45.627736864526121</v>
      </c>
      <c r="E1472" s="61" t="s">
        <v>1931</v>
      </c>
      <c r="F1472" s="65">
        <v>80.827631170816773</v>
      </c>
      <c r="G1472" s="6">
        <v>332</v>
      </c>
      <c r="H1472" s="6">
        <v>294</v>
      </c>
      <c r="I1472" s="65">
        <v>2.1905340103553925</v>
      </c>
      <c r="J1472" s="6">
        <f>VLOOKUP($D1472,Sheet1!$A$5:$C$192,3,TRUE)</f>
        <v>9</v>
      </c>
      <c r="K1472" s="42" t="str">
        <f>VLOOKUP($D1472,Sheet1!$A$5:$C$192,2,TRUE)</f>
        <v>/|)</v>
      </c>
      <c r="L1472" s="6">
        <f>FLOOR(VLOOKUP($D1472,Sheet1!$D$5:$F$192,3,TRUE),1)</f>
        <v>19</v>
      </c>
      <c r="M1472" s="42" t="str">
        <f>VLOOKUP($D1472,Sheet1!$D$5:$F$192,2,TRUE)</f>
        <v>)//|</v>
      </c>
      <c r="N1472" s="23">
        <f>FLOOR(VLOOKUP($D1472,Sheet1!$G$5:$I$192,3,TRUE),1)</f>
        <v>24</v>
      </c>
      <c r="O1472" s="42" t="str">
        <f>VLOOKUP($D1472,Sheet1!$G$5:$I$192,2,TRUE)</f>
        <v>)//|</v>
      </c>
      <c r="P1472" s="23">
        <v>1</v>
      </c>
      <c r="Q1472" s="43" t="str">
        <f>VLOOKUP($D1472,Sheet1!$J$5:$L$192,2,TRUE)</f>
        <v>)//|.</v>
      </c>
      <c r="R1472" s="23">
        <f>FLOOR(VLOOKUP($D1472,Sheet1!$M$5:$O$192,3,TRUE),1)</f>
        <v>94</v>
      </c>
      <c r="S1472" s="42" t="str">
        <f>VLOOKUP($D1472,Sheet1!$M$5:$O$192,2,TRUE)</f>
        <v>)//|.</v>
      </c>
      <c r="T1472" s="117">
        <f>IF(ABS(D1472-VLOOKUP($D1472,Sheet1!$M$5:$T$192,8,TRUE))&lt;10^-10,"SoCA",D1472-VLOOKUP($D1472,Sheet1!$M$5:$T$192,8,TRUE))</f>
        <v>-0.3434914124452888</v>
      </c>
      <c r="U1472" s="109">
        <f>IF(VLOOKUP($D1472,Sheet1!$M$5:$U$192,9,TRUE)=0,"",IF(ABS(D1472-VLOOKUP($D1472,Sheet1!$M$5:$U$192,9,TRUE))&lt;10^-10,"Alt.",D1472-VLOOKUP($D1472,Sheet1!$M$5:$U$192,9,TRUE)))</f>
        <v>-0.3704517076477245</v>
      </c>
      <c r="V1472" s="132">
        <f>$D1472-Sheet1!$M$3*$R1472</f>
        <v>-0.23660034330615787</v>
      </c>
      <c r="Z1472" s="6"/>
      <c r="AA1472" s="61"/>
    </row>
    <row r="1473" spans="1:27" ht="13.5">
      <c r="A1473" t="s">
        <v>1113</v>
      </c>
      <c r="B1473">
        <v>2818048</v>
      </c>
      <c r="C1473">
        <v>2893401</v>
      </c>
      <c r="D1473" s="13">
        <f t="shared" si="29"/>
        <v>45.684115949606436</v>
      </c>
      <c r="E1473" s="61">
        <v>43</v>
      </c>
      <c r="F1473" s="65">
        <v>81.57422844146349</v>
      </c>
      <c r="G1473" s="6">
        <v>879</v>
      </c>
      <c r="H1473" s="6">
        <v>962</v>
      </c>
      <c r="I1473" s="65">
        <v>7.1870625446868077</v>
      </c>
      <c r="J1473" s="6">
        <f>VLOOKUP($D1473,Sheet1!$A$5:$C$192,3,TRUE)</f>
        <v>9</v>
      </c>
      <c r="K1473" s="42" t="str">
        <f>VLOOKUP($D1473,Sheet1!$A$5:$C$192,2,TRUE)</f>
        <v>/|)</v>
      </c>
      <c r="L1473" s="6">
        <f>FLOOR(VLOOKUP($D1473,Sheet1!$D$5:$F$192,3,TRUE),1)</f>
        <v>19</v>
      </c>
      <c r="M1473" s="42" t="str">
        <f>VLOOKUP($D1473,Sheet1!$D$5:$F$192,2,TRUE)</f>
        <v>)//|</v>
      </c>
      <c r="N1473" s="23">
        <f>FLOOR(VLOOKUP($D1473,Sheet1!$G$5:$I$192,3,TRUE),1)</f>
        <v>24</v>
      </c>
      <c r="O1473" s="42" t="str">
        <f>VLOOKUP($D1473,Sheet1!$G$5:$I$192,2,TRUE)</f>
        <v>)//|</v>
      </c>
      <c r="P1473" s="23">
        <v>1</v>
      </c>
      <c r="Q1473" s="43" t="str">
        <f>VLOOKUP($D1473,Sheet1!$J$5:$L$192,2,TRUE)</f>
        <v>)//|.</v>
      </c>
      <c r="R1473" s="23">
        <f>FLOOR(VLOOKUP($D1473,Sheet1!$M$5:$O$192,3,TRUE),1)</f>
        <v>94</v>
      </c>
      <c r="S1473" s="42" t="str">
        <f>VLOOKUP($D1473,Sheet1!$M$5:$O$192,2,TRUE)</f>
        <v>)//|.</v>
      </c>
      <c r="T1473" s="117">
        <f>IF(ABS(D1473-VLOOKUP($D1473,Sheet1!$M$5:$T$192,8,TRUE))&lt;10^-10,"SoCA",D1473-VLOOKUP($D1473,Sheet1!$M$5:$T$192,8,TRUE))</f>
        <v>-0.28711232736497294</v>
      </c>
      <c r="U1473" s="109">
        <f>IF(VLOOKUP($D1473,Sheet1!$M$5:$U$192,9,TRUE)=0,"",IF(ABS(D1473-VLOOKUP($D1473,Sheet1!$M$5:$U$192,9,TRUE))&lt;10^-10,"Alt.",D1473-VLOOKUP($D1473,Sheet1!$M$5:$U$192,9,TRUE)))</f>
        <v>-0.31407262256740864</v>
      </c>
      <c r="V1473" s="132">
        <f>$D1473-Sheet1!$M$3*$R1473</f>
        <v>-0.18022125822584201</v>
      </c>
      <c r="Z1473" s="6"/>
      <c r="AA1473" s="61"/>
    </row>
    <row r="1474" spans="1:27" ht="13.5">
      <c r="A1474" s="6" t="s">
        <v>1905</v>
      </c>
      <c r="B1474">
        <v>1515591</v>
      </c>
      <c r="C1474">
        <v>1556480</v>
      </c>
      <c r="D1474" s="13">
        <f t="shared" si="29"/>
        <v>46.087873374769003</v>
      </c>
      <c r="E1474" s="61">
        <v>19</v>
      </c>
      <c r="F1474" s="65">
        <v>85.612121426142977</v>
      </c>
      <c r="G1474" s="59">
        <v>1745</v>
      </c>
      <c r="H1474" s="63">
        <v>1000110</v>
      </c>
      <c r="I1474" s="65">
        <v>-11.837798270948838</v>
      </c>
      <c r="J1474" s="6">
        <f>VLOOKUP($D1474,Sheet1!$A$5:$C$192,3,TRUE)</f>
        <v>9</v>
      </c>
      <c r="K1474" s="42" t="str">
        <f>VLOOKUP($D1474,Sheet1!$A$5:$C$192,2,TRUE)</f>
        <v>/|)</v>
      </c>
      <c r="L1474" s="6">
        <f>FLOOR(VLOOKUP($D1474,Sheet1!$D$5:$F$192,3,TRUE),1)</f>
        <v>19</v>
      </c>
      <c r="M1474" s="42" t="str">
        <f>VLOOKUP($D1474,Sheet1!$D$5:$F$192,2,TRUE)</f>
        <v>)//|</v>
      </c>
      <c r="N1474" s="23">
        <f>FLOOR(VLOOKUP($D1474,Sheet1!$G$5:$I$192,3,TRUE),1)</f>
        <v>24</v>
      </c>
      <c r="O1474" s="42" t="str">
        <f>VLOOKUP($D1474,Sheet1!$G$5:$I$192,2,TRUE)</f>
        <v>)//|</v>
      </c>
      <c r="P1474" s="23">
        <v>1</v>
      </c>
      <c r="Q1474" s="43" t="str">
        <f>VLOOKUP($D1474,Sheet1!$J$5:$L$192,2,TRUE)</f>
        <v>)//|.</v>
      </c>
      <c r="R1474" s="23">
        <f>FLOOR(VLOOKUP($D1474,Sheet1!$M$5:$O$192,3,TRUE),1)</f>
        <v>94</v>
      </c>
      <c r="S1474" s="42" t="str">
        <f>VLOOKUP($D1474,Sheet1!$M$5:$O$192,2,TRUE)</f>
        <v>)//|.</v>
      </c>
      <c r="T1474" s="117">
        <f>IF(ABS(D1474-VLOOKUP($D1474,Sheet1!$M$5:$T$192,8,TRUE))&lt;10^-10,"SoCA",D1474-VLOOKUP($D1474,Sheet1!$M$5:$T$192,8,TRUE))</f>
        <v>0.11664509779759413</v>
      </c>
      <c r="U1474" s="109">
        <f>IF(VLOOKUP($D1474,Sheet1!$M$5:$U$192,9,TRUE)=0,"",IF(ABS(D1474-VLOOKUP($D1474,Sheet1!$M$5:$U$192,9,TRUE))&lt;10^-10,"Alt.",D1474-VLOOKUP($D1474,Sheet1!$M$5:$U$192,9,TRUE)))</f>
        <v>8.968480259515843E-2</v>
      </c>
      <c r="V1474" s="132">
        <f>$D1474-Sheet1!$M$3*$R1474</f>
        <v>0.22353616693672507</v>
      </c>
      <c r="Z1474" s="6"/>
      <c r="AA1474" s="61"/>
    </row>
    <row r="1475" spans="1:27" ht="13.5">
      <c r="A1475" s="6" t="s">
        <v>429</v>
      </c>
      <c r="B1475" s="6">
        <f>2^15*31</f>
        <v>1015808</v>
      </c>
      <c r="C1475" s="6">
        <f>3^9*53</f>
        <v>1043199</v>
      </c>
      <c r="D1475" s="13">
        <f t="shared" ref="D1475:D1538" si="30">1200*LN($C1475/$B1475)/LN(2)</f>
        <v>46.063980800075406</v>
      </c>
      <c r="E1475" s="61" t="s">
        <v>1931</v>
      </c>
      <c r="F1475" s="65">
        <v>91.181420591636424</v>
      </c>
      <c r="G1475" s="6">
        <v>272</v>
      </c>
      <c r="H1475" s="6">
        <v>267</v>
      </c>
      <c r="I1475" s="65">
        <v>6.1636728819204363</v>
      </c>
      <c r="J1475" s="6">
        <f>VLOOKUP($D1475,Sheet1!$A$5:$C$192,3,TRUE)</f>
        <v>9</v>
      </c>
      <c r="K1475" s="42" t="str">
        <f>VLOOKUP($D1475,Sheet1!$A$5:$C$192,2,TRUE)</f>
        <v>/|)</v>
      </c>
      <c r="L1475" s="6">
        <f>FLOOR(VLOOKUP($D1475,Sheet1!$D$5:$F$192,3,TRUE),1)</f>
        <v>19</v>
      </c>
      <c r="M1475" s="42" t="str">
        <f>VLOOKUP($D1475,Sheet1!$D$5:$F$192,2,TRUE)</f>
        <v>)//|</v>
      </c>
      <c r="N1475" s="23">
        <f>FLOOR(VLOOKUP($D1475,Sheet1!$G$5:$I$192,3,TRUE),1)</f>
        <v>24</v>
      </c>
      <c r="O1475" s="42" t="str">
        <f>VLOOKUP($D1475,Sheet1!$G$5:$I$192,2,TRUE)</f>
        <v>)//|</v>
      </c>
      <c r="P1475" s="23">
        <v>1</v>
      </c>
      <c r="Q1475" s="43" t="str">
        <f>VLOOKUP($D1475,Sheet1!$J$5:$L$192,2,TRUE)</f>
        <v>)//|.</v>
      </c>
      <c r="R1475" s="23">
        <f>FLOOR(VLOOKUP($D1475,Sheet1!$M$5:$O$192,3,TRUE),1)</f>
        <v>94</v>
      </c>
      <c r="S1475" s="42" t="str">
        <f>VLOOKUP($D1475,Sheet1!$M$5:$O$192,2,TRUE)</f>
        <v>)//|.</v>
      </c>
      <c r="T1475" s="117">
        <f>IF(ABS(D1475-VLOOKUP($D1475,Sheet1!$M$5:$T$192,8,TRUE))&lt;10^-10,"SoCA",D1475-VLOOKUP($D1475,Sheet1!$M$5:$T$192,8,TRUE))</f>
        <v>9.2752523103996509E-2</v>
      </c>
      <c r="U1475" s="109">
        <f>IF(VLOOKUP($D1475,Sheet1!$M$5:$U$192,9,TRUE)=0,"",IF(ABS(D1475-VLOOKUP($D1475,Sheet1!$M$5:$U$192,9,TRUE))&lt;10^-10,"Alt.",D1475-VLOOKUP($D1475,Sheet1!$M$5:$U$192,9,TRUE)))</f>
        <v>6.5792227901560807E-2</v>
      </c>
      <c r="V1475" s="132">
        <f>$D1475-Sheet1!$M$3*$R1475</f>
        <v>0.19964359224312744</v>
      </c>
      <c r="Z1475" s="6"/>
      <c r="AA1475" s="61"/>
    </row>
    <row r="1476" spans="1:27" ht="13.5">
      <c r="A1476" t="s">
        <v>1094</v>
      </c>
      <c r="B1476">
        <v>39845888</v>
      </c>
      <c r="C1476">
        <v>40920957</v>
      </c>
      <c r="D1476" s="13">
        <f t="shared" si="30"/>
        <v>46.090843086228155</v>
      </c>
      <c r="E1476" s="61">
        <v>19</v>
      </c>
      <c r="F1476" s="65">
        <v>91.645304912019228</v>
      </c>
      <c r="G1476" s="6">
        <v>615</v>
      </c>
      <c r="H1476" s="6">
        <v>943</v>
      </c>
      <c r="I1476" s="65">
        <v>9.1620188730973755</v>
      </c>
      <c r="J1476" s="6">
        <f>VLOOKUP($D1476,Sheet1!$A$5:$C$192,3,TRUE)</f>
        <v>9</v>
      </c>
      <c r="K1476" s="42" t="str">
        <f>VLOOKUP($D1476,Sheet1!$A$5:$C$192,2,TRUE)</f>
        <v>/|)</v>
      </c>
      <c r="L1476" s="6">
        <f>FLOOR(VLOOKUP($D1476,Sheet1!$D$5:$F$192,3,TRUE),1)</f>
        <v>19</v>
      </c>
      <c r="M1476" s="42" t="str">
        <f>VLOOKUP($D1476,Sheet1!$D$5:$F$192,2,TRUE)</f>
        <v>)//|</v>
      </c>
      <c r="N1476" s="23">
        <f>FLOOR(VLOOKUP($D1476,Sheet1!$G$5:$I$192,3,TRUE),1)</f>
        <v>24</v>
      </c>
      <c r="O1476" s="42" t="str">
        <f>VLOOKUP($D1476,Sheet1!$G$5:$I$192,2,TRUE)</f>
        <v>)//|</v>
      </c>
      <c r="P1476" s="23">
        <v>1</v>
      </c>
      <c r="Q1476" s="43" t="str">
        <f>VLOOKUP($D1476,Sheet1!$J$5:$L$192,2,TRUE)</f>
        <v>)//|.</v>
      </c>
      <c r="R1476" s="23">
        <f>FLOOR(VLOOKUP($D1476,Sheet1!$M$5:$O$192,3,TRUE),1)</f>
        <v>94</v>
      </c>
      <c r="S1476" s="42" t="str">
        <f>VLOOKUP($D1476,Sheet1!$M$5:$O$192,2,TRUE)</f>
        <v>)//|.</v>
      </c>
      <c r="T1476" s="117">
        <f>IF(ABS(D1476-VLOOKUP($D1476,Sheet1!$M$5:$T$192,8,TRUE))&lt;10^-10,"SoCA",D1476-VLOOKUP($D1476,Sheet1!$M$5:$T$192,8,TRUE))</f>
        <v>0.1196148092567455</v>
      </c>
      <c r="U1476" s="109">
        <f>IF(VLOOKUP($D1476,Sheet1!$M$5:$U$192,9,TRUE)=0,"",IF(ABS(D1476-VLOOKUP($D1476,Sheet1!$M$5:$U$192,9,TRUE))&lt;10^-10,"Alt.",D1476-VLOOKUP($D1476,Sheet1!$M$5:$U$192,9,TRUE)))</f>
        <v>9.26545140543098E-2</v>
      </c>
      <c r="V1476" s="132">
        <f>$D1476-Sheet1!$M$3*$R1476</f>
        <v>0.22650587839587644</v>
      </c>
      <c r="Z1476" s="6"/>
      <c r="AA1476" s="61"/>
    </row>
    <row r="1477" spans="1:27" ht="13.5">
      <c r="A1477" t="s">
        <v>838</v>
      </c>
      <c r="B1477">
        <v>3392</v>
      </c>
      <c r="C1477">
        <v>3483</v>
      </c>
      <c r="D1477" s="13">
        <f t="shared" si="30"/>
        <v>45.833163628228263</v>
      </c>
      <c r="E1477" s="61" t="s">
        <v>1931</v>
      </c>
      <c r="F1477" s="65">
        <v>96.231281186945992</v>
      </c>
      <c r="G1477" s="6">
        <v>760</v>
      </c>
      <c r="H1477" s="6">
        <v>685</v>
      </c>
      <c r="I1477" s="65">
        <v>1.1778851361038045</v>
      </c>
      <c r="J1477" s="6">
        <f>VLOOKUP($D1477,Sheet1!$A$5:$C$192,3,TRUE)</f>
        <v>9</v>
      </c>
      <c r="K1477" s="42" t="str">
        <f>VLOOKUP($D1477,Sheet1!$A$5:$C$192,2,TRUE)</f>
        <v>/|)</v>
      </c>
      <c r="L1477" s="6">
        <f>FLOOR(VLOOKUP($D1477,Sheet1!$D$5:$F$192,3,TRUE),1)</f>
        <v>19</v>
      </c>
      <c r="M1477" s="42" t="str">
        <f>VLOOKUP($D1477,Sheet1!$D$5:$F$192,2,TRUE)</f>
        <v>)//|</v>
      </c>
      <c r="N1477" s="23">
        <f>FLOOR(VLOOKUP($D1477,Sheet1!$G$5:$I$192,3,TRUE),1)</f>
        <v>24</v>
      </c>
      <c r="O1477" s="42" t="str">
        <f>VLOOKUP($D1477,Sheet1!$G$5:$I$192,2,TRUE)</f>
        <v>)//|</v>
      </c>
      <c r="P1477" s="23">
        <v>1</v>
      </c>
      <c r="Q1477" s="43" t="str">
        <f>VLOOKUP($D1477,Sheet1!$J$5:$L$192,2,TRUE)</f>
        <v>)//|.</v>
      </c>
      <c r="R1477" s="23">
        <f>FLOOR(VLOOKUP($D1477,Sheet1!$M$5:$O$192,3,TRUE),1)</f>
        <v>94</v>
      </c>
      <c r="S1477" s="42" t="str">
        <f>VLOOKUP($D1477,Sheet1!$M$5:$O$192,2,TRUE)</f>
        <v>)//|.</v>
      </c>
      <c r="T1477" s="117">
        <f>IF(ABS(D1477-VLOOKUP($D1477,Sheet1!$M$5:$T$192,8,TRUE))&lt;10^-10,"SoCA",D1477-VLOOKUP($D1477,Sheet1!$M$5:$T$192,8,TRUE))</f>
        <v>-0.13806464874314628</v>
      </c>
      <c r="U1477" s="109">
        <f>IF(VLOOKUP($D1477,Sheet1!$M$5:$U$192,9,TRUE)=0,"",IF(ABS(D1477-VLOOKUP($D1477,Sheet1!$M$5:$U$192,9,TRUE))&lt;10^-10,"Alt.",D1477-VLOOKUP($D1477,Sheet1!$M$5:$U$192,9,TRUE)))</f>
        <v>-0.16502494394558198</v>
      </c>
      <c r="V1477" s="132">
        <f>$D1477-Sheet1!$M$3*$R1477</f>
        <v>-3.1173579604015345E-2</v>
      </c>
      <c r="Z1477" s="6"/>
      <c r="AA1477" s="61"/>
    </row>
    <row r="1478" spans="1:27" ht="13.5">
      <c r="A1478" t="s">
        <v>1497</v>
      </c>
      <c r="B1478">
        <v>19197</v>
      </c>
      <c r="C1478">
        <v>19712</v>
      </c>
      <c r="D1478" s="13">
        <f t="shared" si="30"/>
        <v>45.831946694421127</v>
      </c>
      <c r="E1478" s="61" t="s">
        <v>1931</v>
      </c>
      <c r="F1478" s="65">
        <v>119.67832759979999</v>
      </c>
      <c r="G1478" s="6">
        <v>1408</v>
      </c>
      <c r="H1478" s="6">
        <v>1346</v>
      </c>
      <c r="I1478" s="65">
        <v>-7.8220399328481589</v>
      </c>
      <c r="J1478" s="6">
        <f>VLOOKUP($D1478,Sheet1!$A$5:$C$192,3,TRUE)</f>
        <v>9</v>
      </c>
      <c r="K1478" s="42" t="str">
        <f>VLOOKUP($D1478,Sheet1!$A$5:$C$192,2,TRUE)</f>
        <v>/|)</v>
      </c>
      <c r="L1478" s="6">
        <f>FLOOR(VLOOKUP($D1478,Sheet1!$D$5:$F$192,3,TRUE),1)</f>
        <v>19</v>
      </c>
      <c r="M1478" s="42" t="str">
        <f>VLOOKUP($D1478,Sheet1!$D$5:$F$192,2,TRUE)</f>
        <v>)//|</v>
      </c>
      <c r="N1478" s="23">
        <f>FLOOR(VLOOKUP($D1478,Sheet1!$G$5:$I$192,3,TRUE),1)</f>
        <v>24</v>
      </c>
      <c r="O1478" s="42" t="str">
        <f>VLOOKUP($D1478,Sheet1!$G$5:$I$192,2,TRUE)</f>
        <v>)//|</v>
      </c>
      <c r="P1478" s="23">
        <v>1</v>
      </c>
      <c r="Q1478" s="43" t="str">
        <f>VLOOKUP($D1478,Sheet1!$J$5:$L$192,2,TRUE)</f>
        <v>)//|.</v>
      </c>
      <c r="R1478" s="23">
        <f>FLOOR(VLOOKUP($D1478,Sheet1!$M$5:$O$192,3,TRUE),1)</f>
        <v>94</v>
      </c>
      <c r="S1478" s="42" t="str">
        <f>VLOOKUP($D1478,Sheet1!$M$5:$O$192,2,TRUE)</f>
        <v>)//|.</v>
      </c>
      <c r="T1478" s="117">
        <f>IF(ABS(D1478-VLOOKUP($D1478,Sheet1!$M$5:$T$192,8,TRUE))&lt;10^-10,"SoCA",D1478-VLOOKUP($D1478,Sheet1!$M$5:$T$192,8,TRUE))</f>
        <v>-0.13928158255028222</v>
      </c>
      <c r="U1478" s="109">
        <f>IF(VLOOKUP($D1478,Sheet1!$M$5:$U$192,9,TRUE)=0,"",IF(ABS(D1478-VLOOKUP($D1478,Sheet1!$M$5:$U$192,9,TRUE))&lt;10^-10,"Alt.",D1478-VLOOKUP($D1478,Sheet1!$M$5:$U$192,9,TRUE)))</f>
        <v>-0.16624187775271793</v>
      </c>
      <c r="V1478" s="132">
        <f>$D1478-Sheet1!$M$3*$R1478</f>
        <v>-3.2390513411151289E-2</v>
      </c>
      <c r="Z1478" s="6"/>
      <c r="AA1478" s="61"/>
    </row>
    <row r="1479" spans="1:27" ht="13.5">
      <c r="A1479" t="s">
        <v>1229</v>
      </c>
      <c r="B1479">
        <v>486</v>
      </c>
      <c r="C1479">
        <v>499</v>
      </c>
      <c r="D1479" s="13">
        <f t="shared" si="30"/>
        <v>45.700202077775629</v>
      </c>
      <c r="E1479" s="61" t="s">
        <v>1931</v>
      </c>
      <c r="F1479" s="65">
        <v>603.21336844163795</v>
      </c>
      <c r="G1479" s="6">
        <v>1011</v>
      </c>
      <c r="H1479" s="6">
        <v>1078</v>
      </c>
      <c r="I1479" s="65">
        <v>-7.8139279368295247</v>
      </c>
      <c r="J1479" s="6">
        <f>VLOOKUP($D1479,Sheet1!$A$5:$C$192,3,TRUE)</f>
        <v>9</v>
      </c>
      <c r="K1479" s="42" t="str">
        <f>VLOOKUP($D1479,Sheet1!$A$5:$C$192,2,TRUE)</f>
        <v>/|)</v>
      </c>
      <c r="L1479" s="6">
        <f>FLOOR(VLOOKUP($D1479,Sheet1!$D$5:$F$192,3,TRUE),1)</f>
        <v>19</v>
      </c>
      <c r="M1479" s="42" t="str">
        <f>VLOOKUP($D1479,Sheet1!$D$5:$F$192,2,TRUE)</f>
        <v>)//|</v>
      </c>
      <c r="N1479" s="23">
        <f>FLOOR(VLOOKUP($D1479,Sheet1!$G$5:$I$192,3,TRUE),1)</f>
        <v>24</v>
      </c>
      <c r="O1479" s="42" t="str">
        <f>VLOOKUP($D1479,Sheet1!$G$5:$I$192,2,TRUE)</f>
        <v>)//|</v>
      </c>
      <c r="P1479" s="23">
        <v>1</v>
      </c>
      <c r="Q1479" s="43" t="str">
        <f>VLOOKUP($D1479,Sheet1!$J$5:$L$192,2,TRUE)</f>
        <v>)//|.</v>
      </c>
      <c r="R1479" s="23">
        <f>FLOOR(VLOOKUP($D1479,Sheet1!$M$5:$O$192,3,TRUE),1)</f>
        <v>94</v>
      </c>
      <c r="S1479" s="42" t="str">
        <f>VLOOKUP($D1479,Sheet1!$M$5:$O$192,2,TRUE)</f>
        <v>)//|.</v>
      </c>
      <c r="T1479" s="117">
        <f>IF(ABS(D1479-VLOOKUP($D1479,Sheet1!$M$5:$T$192,8,TRUE))&lt;10^-10,"SoCA",D1479-VLOOKUP($D1479,Sheet1!$M$5:$T$192,8,TRUE))</f>
        <v>-0.27102619919578075</v>
      </c>
      <c r="U1479" s="109">
        <f>IF(VLOOKUP($D1479,Sheet1!$M$5:$U$192,9,TRUE)=0,"",IF(ABS(D1479-VLOOKUP($D1479,Sheet1!$M$5:$U$192,9,TRUE))&lt;10^-10,"Alt.",D1479-VLOOKUP($D1479,Sheet1!$M$5:$U$192,9,TRUE)))</f>
        <v>-0.29798649439821645</v>
      </c>
      <c r="V1479" s="132">
        <f>$D1479-Sheet1!$M$3*$R1479</f>
        <v>-0.16413513005664981</v>
      </c>
      <c r="Z1479" s="6"/>
      <c r="AA1479" s="61"/>
    </row>
    <row r="1480" spans="1:27" ht="13.5">
      <c r="A1480" s="33" t="s">
        <v>184</v>
      </c>
      <c r="B1480" s="33">
        <f>3^4*5</f>
        <v>405</v>
      </c>
      <c r="C1480" s="33">
        <f>2^5*13</f>
        <v>416</v>
      </c>
      <c r="D1480" s="13">
        <f t="shared" si="30"/>
        <v>46.393944442926234</v>
      </c>
      <c r="E1480" s="61">
        <v>13</v>
      </c>
      <c r="F1480" s="65">
        <v>19.091360782201438</v>
      </c>
      <c r="G1480" s="6">
        <v>37</v>
      </c>
      <c r="H1480" s="6">
        <v>37</v>
      </c>
      <c r="I1480" s="65">
        <v>-6.8566441816928894</v>
      </c>
      <c r="J1480" s="6">
        <f>VLOOKUP($D1480,Sheet1!$A$5:$C$192,3,TRUE)</f>
        <v>9</v>
      </c>
      <c r="K1480" s="42" t="str">
        <f>VLOOKUP($D1480,Sheet1!$A$5:$C$192,2,TRUE)</f>
        <v>/|)</v>
      </c>
      <c r="L1480" s="34">
        <f>FLOOR(VLOOKUP($D1480,Sheet1!$D$5:$F$192,3,TRUE),1)</f>
        <v>19</v>
      </c>
      <c r="M1480" s="41" t="str">
        <f>VLOOKUP($D1480,Sheet1!$D$5:$F$192,2,TRUE)</f>
        <v>)//|</v>
      </c>
      <c r="N1480" s="34">
        <f>FLOOR(VLOOKUP($D1480,Sheet1!$G$5:$I$192,3,TRUE),1)</f>
        <v>24</v>
      </c>
      <c r="O1480" s="41" t="str">
        <f>VLOOKUP($D1480,Sheet1!$G$5:$I$192,2,TRUE)</f>
        <v>)//|</v>
      </c>
      <c r="P1480" s="34">
        <v>1</v>
      </c>
      <c r="Q1480" s="41" t="str">
        <f>VLOOKUP($D1480,Sheet1!$J$5:$L$192,2,TRUE)</f>
        <v>)//|</v>
      </c>
      <c r="R1480" s="34">
        <f>FLOOR(VLOOKUP($D1480,Sheet1!$M$5:$O$192,3,TRUE),1)</f>
        <v>95</v>
      </c>
      <c r="S1480" s="41" t="str">
        <f>VLOOKUP($D1480,Sheet1!$M$5:$O$192,2,TRUE)</f>
        <v>)//|</v>
      </c>
      <c r="T1480" s="114" t="str">
        <f>IF(ABS(D1480-VLOOKUP($D1480,Sheet1!$M$5:$T$192,8,TRUE))&lt;10^-10,"SoCA",D1480-VLOOKUP($D1480,Sheet1!$M$5:$T$192,8,TRUE))</f>
        <v>SoCA</v>
      </c>
      <c r="U1480" s="126" t="str">
        <f>IF(VLOOKUP($D1480,Sheet1!$M$5:$U$192,9,TRUE)=0,"",IF(ABS(D1480-VLOOKUP($D1480,Sheet1!$M$5:$U$192,9,TRUE))&lt;10^-10,"Alt.",D1480-VLOOKUP($D1480,Sheet1!$M$5:$U$192,9,TRUE)))</f>
        <v/>
      </c>
      <c r="V1480" s="137">
        <f>$D1480-Sheet1!$M$3*$R1480</f>
        <v>4.1688754159565633E-2</v>
      </c>
      <c r="Z1480" s="6"/>
      <c r="AA1480" s="61"/>
    </row>
    <row r="1481" spans="1:27" ht="13.5">
      <c r="A1481" s="23" t="s">
        <v>185</v>
      </c>
      <c r="B1481" s="21">
        <f>2^3*23</f>
        <v>184</v>
      </c>
      <c r="C1481" s="21">
        <f>3^3*7</f>
        <v>189</v>
      </c>
      <c r="D1481" s="13">
        <f t="shared" si="30"/>
        <v>46.416561796871754</v>
      </c>
      <c r="E1481" s="61">
        <v>23</v>
      </c>
      <c r="F1481" s="65">
        <v>30.08714538531348</v>
      </c>
      <c r="G1481" s="6">
        <v>64</v>
      </c>
      <c r="H1481" s="6">
        <v>58</v>
      </c>
      <c r="I1481" s="65">
        <v>0.14196318542517838</v>
      </c>
      <c r="J1481" s="6">
        <f>VLOOKUP($D1481,Sheet1!$A$5:$C$192,3,TRUE)</f>
        <v>9</v>
      </c>
      <c r="K1481" s="42" t="str">
        <f>VLOOKUP($D1481,Sheet1!$A$5:$C$192,2,TRUE)</f>
        <v>/|)</v>
      </c>
      <c r="L1481" s="23">
        <f>FLOOR(VLOOKUP($D1481,Sheet1!$D$5:$F$192,3,TRUE),1)</f>
        <v>19</v>
      </c>
      <c r="M1481" s="43" t="str">
        <f>VLOOKUP($D1481,Sheet1!$D$5:$F$192,2,TRUE)</f>
        <v>)//|</v>
      </c>
      <c r="N1481" s="23">
        <f>FLOOR(VLOOKUP($D1481,Sheet1!$G$5:$I$192,3,TRUE),1)</f>
        <v>24</v>
      </c>
      <c r="O1481" s="43" t="str">
        <f>VLOOKUP($D1481,Sheet1!$G$5:$I$192,2,TRUE)</f>
        <v>)//|</v>
      </c>
      <c r="P1481" s="23">
        <v>1</v>
      </c>
      <c r="Q1481" s="43" t="str">
        <f>VLOOKUP($D1481,Sheet1!$J$5:$L$192,2,TRUE)</f>
        <v>)//|</v>
      </c>
      <c r="R1481" s="23">
        <f>FLOOR(VLOOKUP($D1481,Sheet1!$M$5:$O$192,3,TRUE),1)</f>
        <v>95</v>
      </c>
      <c r="S1481" s="43" t="str">
        <f>VLOOKUP($D1481,Sheet1!$M$5:$O$192,2,TRUE)</f>
        <v>)//|</v>
      </c>
      <c r="T1481" s="117">
        <f>IF(ABS(D1481-VLOOKUP($D1481,Sheet1!$M$5:$T$192,8,TRUE))&lt;10^-10,"SoCA",D1481-VLOOKUP($D1481,Sheet1!$M$5:$T$192,8,TRUE))</f>
        <v>2.2617353945520335E-2</v>
      </c>
      <c r="U1481" s="117" t="str">
        <f>IF(VLOOKUP($D1481,Sheet1!$M$5:$U$192,9,TRUE)=0,"",IF(ABS(D1481-VLOOKUP($D1481,Sheet1!$M$5:$U$192,9,TRUE))&lt;10^-10,"Alt.",D1481-VLOOKUP($D1481,Sheet1!$M$5:$U$192,9,TRUE)))</f>
        <v/>
      </c>
      <c r="V1481" s="134">
        <f>$D1481-Sheet1!$M$3*$R1481</f>
        <v>6.4306108105085968E-2</v>
      </c>
      <c r="Z1481" s="6"/>
      <c r="AA1481" s="61"/>
    </row>
    <row r="1482" spans="1:27" ht="13.5">
      <c r="A1482" s="6" t="s">
        <v>809</v>
      </c>
      <c r="B1482" s="6">
        <f>2^13</f>
        <v>8192</v>
      </c>
      <c r="C1482" s="6">
        <f>3^2*5*11*17</f>
        <v>8415</v>
      </c>
      <c r="D1482" s="13">
        <f t="shared" si="30"/>
        <v>46.497067460773657</v>
      </c>
      <c r="E1482" s="61">
        <v>17</v>
      </c>
      <c r="F1482" s="65">
        <v>52.857142763949369</v>
      </c>
      <c r="G1482" s="6">
        <v>745</v>
      </c>
      <c r="H1482" s="6">
        <v>656</v>
      </c>
      <c r="I1482" s="65">
        <v>-0.86299384159936343</v>
      </c>
      <c r="J1482" s="6">
        <f>VLOOKUP($D1482,Sheet1!$A$5:$C$192,3,TRUE)</f>
        <v>9</v>
      </c>
      <c r="K1482" s="42" t="str">
        <f>VLOOKUP($D1482,Sheet1!$A$5:$C$192,2,TRUE)</f>
        <v>/|)</v>
      </c>
      <c r="L1482" s="6">
        <f>FLOOR(VLOOKUP($D1482,Sheet1!$D$5:$F$192,3,TRUE),1)</f>
        <v>19</v>
      </c>
      <c r="M1482" s="42" t="str">
        <f>VLOOKUP($D1482,Sheet1!$D$5:$F$192,2,TRUE)</f>
        <v>)//|</v>
      </c>
      <c r="N1482" s="23">
        <f>FLOOR(VLOOKUP($D1482,Sheet1!$G$5:$I$192,3,TRUE),1)</f>
        <v>24</v>
      </c>
      <c r="O1482" s="42" t="str">
        <f>VLOOKUP($D1482,Sheet1!$G$5:$I$192,2,TRUE)</f>
        <v>)//|</v>
      </c>
      <c r="P1482" s="23">
        <v>1</v>
      </c>
      <c r="Q1482" s="43" t="str">
        <f>VLOOKUP($D1482,Sheet1!$J$5:$L$192,2,TRUE)</f>
        <v>)//|</v>
      </c>
      <c r="R1482" s="23">
        <f>FLOOR(VLOOKUP($D1482,Sheet1!$M$5:$O$192,3,TRUE),1)</f>
        <v>95</v>
      </c>
      <c r="S1482" s="42" t="str">
        <f>VLOOKUP($D1482,Sheet1!$M$5:$O$192,2,TRUE)</f>
        <v>)//|</v>
      </c>
      <c r="T1482" s="117">
        <f>IF(ABS(D1482-VLOOKUP($D1482,Sheet1!$M$5:$T$192,8,TRUE))&lt;10^-10,"SoCA",D1482-VLOOKUP($D1482,Sheet1!$M$5:$T$192,8,TRUE))</f>
        <v>0.10312301784742317</v>
      </c>
      <c r="U1482" s="109" t="str">
        <f>IF(VLOOKUP($D1482,Sheet1!$M$5:$U$192,9,TRUE)=0,"",IF(ABS(D1482-VLOOKUP($D1482,Sheet1!$M$5:$U$192,9,TRUE))&lt;10^-10,"Alt.",D1482-VLOOKUP($D1482,Sheet1!$M$5:$U$192,9,TRUE)))</f>
        <v/>
      </c>
      <c r="V1482" s="132">
        <f>$D1482-Sheet1!$M$3*$R1482</f>
        <v>0.1448117720069888</v>
      </c>
      <c r="Z1482" s="6"/>
      <c r="AA1482" s="61"/>
    </row>
    <row r="1483" spans="1:27" ht="13.5">
      <c r="A1483" s="6" t="s">
        <v>948</v>
      </c>
      <c r="B1483" s="6">
        <f>7*13^2</f>
        <v>1183</v>
      </c>
      <c r="C1483" s="6">
        <f>3^5*5</f>
        <v>1215</v>
      </c>
      <c r="D1483" s="13">
        <f t="shared" si="30"/>
        <v>46.20748818402592</v>
      </c>
      <c r="E1483" s="61">
        <v>13</v>
      </c>
      <c r="F1483" s="65">
        <v>53.571428261444055</v>
      </c>
      <c r="G1483" s="14">
        <v>858.1</v>
      </c>
      <c r="H1483" s="6">
        <v>796.1</v>
      </c>
      <c r="I1483" s="65">
        <v>2.1548366094647382</v>
      </c>
      <c r="J1483" s="6">
        <f>VLOOKUP($D1483,Sheet1!$A$5:$C$192,3,TRUE)</f>
        <v>9</v>
      </c>
      <c r="K1483" s="42" t="str">
        <f>VLOOKUP($D1483,Sheet1!$A$5:$C$192,2,TRUE)</f>
        <v>/|)</v>
      </c>
      <c r="L1483" s="6">
        <f>FLOOR(VLOOKUP($D1483,Sheet1!$D$5:$F$192,3,TRUE),1)</f>
        <v>19</v>
      </c>
      <c r="M1483" s="42" t="str">
        <f>VLOOKUP($D1483,Sheet1!$D$5:$F$192,2,TRUE)</f>
        <v>)//|</v>
      </c>
      <c r="N1483" s="23">
        <f>FLOOR(VLOOKUP($D1483,Sheet1!$G$5:$I$192,3,TRUE),1)</f>
        <v>24</v>
      </c>
      <c r="O1483" s="42" t="str">
        <f>VLOOKUP($D1483,Sheet1!$G$5:$I$192,2,TRUE)</f>
        <v>)//|</v>
      </c>
      <c r="P1483" s="23">
        <v>1</v>
      </c>
      <c r="Q1483" s="43" t="str">
        <f>VLOOKUP($D1483,Sheet1!$J$5:$L$192,2,TRUE)</f>
        <v>)//|</v>
      </c>
      <c r="R1483" s="23">
        <f>FLOOR(VLOOKUP($D1483,Sheet1!$M$5:$O$192,3,TRUE),1)</f>
        <v>95</v>
      </c>
      <c r="S1483" s="42" t="str">
        <f>VLOOKUP($D1483,Sheet1!$M$5:$O$192,2,TRUE)</f>
        <v>)//|</v>
      </c>
      <c r="T1483" s="117">
        <f>IF(ABS(D1483-VLOOKUP($D1483,Sheet1!$M$5:$T$192,8,TRUE))&lt;10^-10,"SoCA",D1483-VLOOKUP($D1483,Sheet1!$M$5:$T$192,8,TRUE))</f>
        <v>-0.18645625890031425</v>
      </c>
      <c r="U1483" s="109" t="str">
        <f>IF(VLOOKUP($D1483,Sheet1!$M$5:$U$192,9,TRUE)=0,"",IF(ABS(D1483-VLOOKUP($D1483,Sheet1!$M$5:$U$192,9,TRUE))&lt;10^-10,"Alt.",D1483-VLOOKUP($D1483,Sheet1!$M$5:$U$192,9,TRUE)))</f>
        <v/>
      </c>
      <c r="V1483" s="132">
        <f>$D1483-Sheet1!$M$3*$R1483</f>
        <v>-0.14476750474074862</v>
      </c>
      <c r="Z1483" s="6"/>
      <c r="AA1483" s="61"/>
    </row>
    <row r="1484" spans="1:27" ht="13.5">
      <c r="A1484" s="6" t="s">
        <v>592</v>
      </c>
      <c r="B1484" s="6">
        <f>2^4*3^4</f>
        <v>1296</v>
      </c>
      <c r="C1484" s="6">
        <f>11^3</f>
        <v>1331</v>
      </c>
      <c r="D1484" s="13">
        <f t="shared" si="30"/>
        <v>46.133823632720372</v>
      </c>
      <c r="E1484" s="61">
        <v>11</v>
      </c>
      <c r="F1484" s="65">
        <v>54.082666505439057</v>
      </c>
      <c r="G1484" s="6">
        <v>416</v>
      </c>
      <c r="H1484" s="6">
        <v>437</v>
      </c>
      <c r="I1484" s="65">
        <v>-6.840627595736807</v>
      </c>
      <c r="J1484" s="6">
        <f>VLOOKUP($D1484,Sheet1!$A$5:$C$192,3,TRUE)</f>
        <v>9</v>
      </c>
      <c r="K1484" s="42" t="str">
        <f>VLOOKUP($D1484,Sheet1!$A$5:$C$192,2,TRUE)</f>
        <v>/|)</v>
      </c>
      <c r="L1484" s="6">
        <f>FLOOR(VLOOKUP($D1484,Sheet1!$D$5:$F$192,3,TRUE),1)</f>
        <v>19</v>
      </c>
      <c r="M1484" s="42" t="str">
        <f>VLOOKUP($D1484,Sheet1!$D$5:$F$192,2,TRUE)</f>
        <v>)//|</v>
      </c>
      <c r="N1484" s="23">
        <f>FLOOR(VLOOKUP($D1484,Sheet1!$G$5:$I$192,3,TRUE),1)</f>
        <v>24</v>
      </c>
      <c r="O1484" s="42" t="str">
        <f>VLOOKUP($D1484,Sheet1!$G$5:$I$192,2,TRUE)</f>
        <v>)//|</v>
      </c>
      <c r="P1484" s="23">
        <v>1</v>
      </c>
      <c r="Q1484" s="43" t="str">
        <f>VLOOKUP($D1484,Sheet1!$J$5:$L$192,2,TRUE)</f>
        <v>)//|</v>
      </c>
      <c r="R1484" s="23">
        <f>FLOOR(VLOOKUP($D1484,Sheet1!$M$5:$O$192,3,TRUE),1)</f>
        <v>95</v>
      </c>
      <c r="S1484" s="42" t="str">
        <f>VLOOKUP($D1484,Sheet1!$M$5:$O$192,2,TRUE)</f>
        <v>)//|</v>
      </c>
      <c r="T1484" s="117">
        <f>IF(ABS(D1484-VLOOKUP($D1484,Sheet1!$M$5:$T$192,8,TRUE))&lt;10^-10,"SoCA",D1484-VLOOKUP($D1484,Sheet1!$M$5:$T$192,8,TRUE))</f>
        <v>-0.26012081020586209</v>
      </c>
      <c r="U1484" s="109" t="str">
        <f>IF(VLOOKUP($D1484,Sheet1!$M$5:$U$192,9,TRUE)=0,"",IF(ABS(D1484-VLOOKUP($D1484,Sheet1!$M$5:$U$192,9,TRUE))&lt;10^-10,"Alt.",D1484-VLOOKUP($D1484,Sheet1!$M$5:$U$192,9,TRUE)))</f>
        <v/>
      </c>
      <c r="V1484" s="132">
        <f>$D1484-Sheet1!$M$3*$R1484</f>
        <v>-0.21843205604629645</v>
      </c>
      <c r="Z1484" s="6"/>
      <c r="AA1484" s="61"/>
    </row>
    <row r="1485" spans="1:27" ht="13.5">
      <c r="A1485" s="6" t="s">
        <v>320</v>
      </c>
      <c r="B1485" s="6">
        <f>37</f>
        <v>37</v>
      </c>
      <c r="C1485" s="6">
        <f>2*19</f>
        <v>38</v>
      </c>
      <c r="D1485" s="13">
        <f t="shared" si="30"/>
        <v>46.168977377562769</v>
      </c>
      <c r="E1485" s="61">
        <v>37</v>
      </c>
      <c r="F1485" s="65">
        <v>56.091676261079897</v>
      </c>
      <c r="G1485" s="6">
        <v>163</v>
      </c>
      <c r="H1485" s="6">
        <v>151</v>
      </c>
      <c r="I1485" s="65">
        <v>-2.8427921398788185</v>
      </c>
      <c r="J1485" s="6">
        <f>VLOOKUP($D1485,Sheet1!$A$5:$C$192,3,TRUE)</f>
        <v>9</v>
      </c>
      <c r="K1485" s="42" t="str">
        <f>VLOOKUP($D1485,Sheet1!$A$5:$C$192,2,TRUE)</f>
        <v>/|)</v>
      </c>
      <c r="L1485" s="6">
        <f>FLOOR(VLOOKUP($D1485,Sheet1!$D$5:$F$192,3,TRUE),1)</f>
        <v>19</v>
      </c>
      <c r="M1485" s="42" t="str">
        <f>VLOOKUP($D1485,Sheet1!$D$5:$F$192,2,TRUE)</f>
        <v>)//|</v>
      </c>
      <c r="N1485" s="23">
        <f>FLOOR(VLOOKUP($D1485,Sheet1!$G$5:$I$192,3,TRUE),1)</f>
        <v>24</v>
      </c>
      <c r="O1485" s="42" t="str">
        <f>VLOOKUP($D1485,Sheet1!$G$5:$I$192,2,TRUE)</f>
        <v>)//|</v>
      </c>
      <c r="P1485" s="23">
        <v>1</v>
      </c>
      <c r="Q1485" s="43" t="str">
        <f>VLOOKUP($D1485,Sheet1!$J$5:$L$192,2,TRUE)</f>
        <v>)//|</v>
      </c>
      <c r="R1485" s="23">
        <f>FLOOR(VLOOKUP($D1485,Sheet1!$M$5:$O$192,3,TRUE),1)</f>
        <v>95</v>
      </c>
      <c r="S1485" s="42" t="str">
        <f>VLOOKUP($D1485,Sheet1!$M$5:$O$192,2,TRUE)</f>
        <v>)//|</v>
      </c>
      <c r="T1485" s="117">
        <f>IF(ABS(D1485-VLOOKUP($D1485,Sheet1!$M$5:$T$192,8,TRUE))&lt;10^-10,"SoCA",D1485-VLOOKUP($D1485,Sheet1!$M$5:$T$192,8,TRUE))</f>
        <v>-0.22496706536346522</v>
      </c>
      <c r="U1485" s="109" t="str">
        <f>IF(VLOOKUP($D1485,Sheet1!$M$5:$U$192,9,TRUE)=0,"",IF(ABS(D1485-VLOOKUP($D1485,Sheet1!$M$5:$U$192,9,TRUE))&lt;10^-10,"Alt.",D1485-VLOOKUP($D1485,Sheet1!$M$5:$U$192,9,TRUE)))</f>
        <v/>
      </c>
      <c r="V1485" s="132">
        <f>$D1485-Sheet1!$M$3*$R1485</f>
        <v>-0.18327831120389959</v>
      </c>
      <c r="Z1485" s="6"/>
      <c r="AA1485" s="61"/>
    </row>
    <row r="1486" spans="1:27" ht="13.5">
      <c r="A1486" s="6" t="s">
        <v>406</v>
      </c>
      <c r="B1486" s="6">
        <f>2^17*5^2</f>
        <v>3276800</v>
      </c>
      <c r="C1486" s="6">
        <f>3^11*19</f>
        <v>3365793</v>
      </c>
      <c r="D1486" s="13">
        <f t="shared" si="30"/>
        <v>46.390597921894575</v>
      </c>
      <c r="E1486" s="61">
        <v>19</v>
      </c>
      <c r="F1486" s="65">
        <v>56.907820370222481</v>
      </c>
      <c r="G1486" s="14">
        <v>213.1</v>
      </c>
      <c r="H1486" s="6">
        <v>243.1</v>
      </c>
      <c r="I1486" s="65">
        <v>8.1435618757990706</v>
      </c>
      <c r="J1486" s="6">
        <f>VLOOKUP($D1486,Sheet1!$A$5:$C$192,3,TRUE)</f>
        <v>9</v>
      </c>
      <c r="K1486" s="42" t="str">
        <f>VLOOKUP($D1486,Sheet1!$A$5:$C$192,2,TRUE)</f>
        <v>/|)</v>
      </c>
      <c r="L1486" s="6">
        <f>FLOOR(VLOOKUP($D1486,Sheet1!$D$5:$F$192,3,TRUE),1)</f>
        <v>19</v>
      </c>
      <c r="M1486" s="42" t="str">
        <f>VLOOKUP($D1486,Sheet1!$D$5:$F$192,2,TRUE)</f>
        <v>)//|</v>
      </c>
      <c r="N1486" s="23">
        <f>FLOOR(VLOOKUP($D1486,Sheet1!$G$5:$I$192,3,TRUE),1)</f>
        <v>24</v>
      </c>
      <c r="O1486" s="42" t="str">
        <f>VLOOKUP($D1486,Sheet1!$G$5:$I$192,2,TRUE)</f>
        <v>)//|</v>
      </c>
      <c r="P1486" s="23">
        <v>1</v>
      </c>
      <c r="Q1486" s="43" t="str">
        <f>VLOOKUP($D1486,Sheet1!$J$5:$L$192,2,TRUE)</f>
        <v>)//|</v>
      </c>
      <c r="R1486" s="23">
        <f>FLOOR(VLOOKUP($D1486,Sheet1!$M$5:$O$192,3,TRUE),1)</f>
        <v>95</v>
      </c>
      <c r="S1486" s="42" t="str">
        <f>VLOOKUP($D1486,Sheet1!$M$5:$O$192,2,TRUE)</f>
        <v>)//|</v>
      </c>
      <c r="T1486" s="117">
        <f>IF(ABS(D1486-VLOOKUP($D1486,Sheet1!$M$5:$T$192,8,TRUE))&lt;10^-10,"SoCA",D1486-VLOOKUP($D1486,Sheet1!$M$5:$T$192,8,TRUE))</f>
        <v>-3.346521031659222E-3</v>
      </c>
      <c r="U1486" s="109" t="str">
        <f>IF(VLOOKUP($D1486,Sheet1!$M$5:$U$192,9,TRUE)=0,"",IF(ABS(D1486-VLOOKUP($D1486,Sheet1!$M$5:$U$192,9,TRUE))&lt;10^-10,"Alt.",D1486-VLOOKUP($D1486,Sheet1!$M$5:$U$192,9,TRUE)))</f>
        <v/>
      </c>
      <c r="V1486" s="132">
        <f>$D1486-Sheet1!$M$3*$R1486</f>
        <v>3.8342233127906411E-2</v>
      </c>
      <c r="Z1486" s="6"/>
      <c r="AA1486" s="61"/>
    </row>
    <row r="1487" spans="1:27" ht="13.5">
      <c r="A1487" t="s">
        <v>726</v>
      </c>
      <c r="B1487">
        <v>67797</v>
      </c>
      <c r="C1487">
        <v>69632</v>
      </c>
      <c r="D1487" s="13">
        <f t="shared" si="30"/>
        <v>46.234830978445231</v>
      </c>
      <c r="E1487" s="61">
        <v>31</v>
      </c>
      <c r="F1487" s="65">
        <v>59.333559471324463</v>
      </c>
      <c r="G1487" s="6">
        <v>361</v>
      </c>
      <c r="H1487" s="6">
        <v>571</v>
      </c>
      <c r="I1487" s="65">
        <v>-9.8468469860028822</v>
      </c>
      <c r="J1487" s="6">
        <f>VLOOKUP($D1487,Sheet1!$A$5:$C$192,3,TRUE)</f>
        <v>9</v>
      </c>
      <c r="K1487" s="42" t="str">
        <f>VLOOKUP($D1487,Sheet1!$A$5:$C$192,2,TRUE)</f>
        <v>/|)</v>
      </c>
      <c r="L1487" s="6">
        <f>FLOOR(VLOOKUP($D1487,Sheet1!$D$5:$F$192,3,TRUE),1)</f>
        <v>19</v>
      </c>
      <c r="M1487" s="42" t="str">
        <f>VLOOKUP($D1487,Sheet1!$D$5:$F$192,2,TRUE)</f>
        <v>)//|</v>
      </c>
      <c r="N1487" s="23">
        <f>FLOOR(VLOOKUP($D1487,Sheet1!$G$5:$I$192,3,TRUE),1)</f>
        <v>24</v>
      </c>
      <c r="O1487" s="42" t="str">
        <f>VLOOKUP($D1487,Sheet1!$G$5:$I$192,2,TRUE)</f>
        <v>)//|</v>
      </c>
      <c r="P1487" s="23">
        <v>1</v>
      </c>
      <c r="Q1487" s="43" t="str">
        <f>VLOOKUP($D1487,Sheet1!$J$5:$L$192,2,TRUE)</f>
        <v>)//|</v>
      </c>
      <c r="R1487" s="23">
        <f>FLOOR(VLOOKUP($D1487,Sheet1!$M$5:$O$192,3,TRUE),1)</f>
        <v>95</v>
      </c>
      <c r="S1487" s="42" t="str">
        <f>VLOOKUP($D1487,Sheet1!$M$5:$O$192,2,TRUE)</f>
        <v>)//|</v>
      </c>
      <c r="T1487" s="117">
        <f>IF(ABS(D1487-VLOOKUP($D1487,Sheet1!$M$5:$T$192,8,TRUE))&lt;10^-10,"SoCA",D1487-VLOOKUP($D1487,Sheet1!$M$5:$T$192,8,TRUE))</f>
        <v>-0.15911346448100261</v>
      </c>
      <c r="U1487" s="109" t="str">
        <f>IF(VLOOKUP($D1487,Sheet1!$M$5:$U$192,9,TRUE)=0,"",IF(ABS(D1487-VLOOKUP($D1487,Sheet1!$M$5:$U$192,9,TRUE))&lt;10^-10,"Alt.",D1487-VLOOKUP($D1487,Sheet1!$M$5:$U$192,9,TRUE)))</f>
        <v/>
      </c>
      <c r="V1487" s="132">
        <f>$D1487-Sheet1!$M$3*$R1487</f>
        <v>-0.11742471032143698</v>
      </c>
      <c r="Z1487" s="6"/>
      <c r="AA1487" s="61"/>
    </row>
    <row r="1488" spans="1:27" ht="13.5">
      <c r="A1488" t="s">
        <v>1041</v>
      </c>
      <c r="B1488">
        <v>7808</v>
      </c>
      <c r="C1488">
        <v>8019</v>
      </c>
      <c r="D1488" s="13">
        <f t="shared" si="30"/>
        <v>46.163142481617705</v>
      </c>
      <c r="E1488" s="61" t="s">
        <v>1931</v>
      </c>
      <c r="F1488" s="65">
        <v>72.866941524661485</v>
      </c>
      <c r="G1488" s="6">
        <v>960</v>
      </c>
      <c r="H1488" s="6">
        <v>889</v>
      </c>
      <c r="I1488" s="65">
        <v>3.1575671359222017</v>
      </c>
      <c r="J1488" s="6">
        <f>VLOOKUP($D1488,Sheet1!$A$5:$C$192,3,TRUE)</f>
        <v>9</v>
      </c>
      <c r="K1488" s="42" t="str">
        <f>VLOOKUP($D1488,Sheet1!$A$5:$C$192,2,TRUE)</f>
        <v>/|)</v>
      </c>
      <c r="L1488" s="6">
        <f>FLOOR(VLOOKUP($D1488,Sheet1!$D$5:$F$192,3,TRUE),1)</f>
        <v>19</v>
      </c>
      <c r="M1488" s="42" t="str">
        <f>VLOOKUP($D1488,Sheet1!$D$5:$F$192,2,TRUE)</f>
        <v>)//|</v>
      </c>
      <c r="N1488" s="23">
        <f>FLOOR(VLOOKUP($D1488,Sheet1!$G$5:$I$192,3,TRUE),1)</f>
        <v>24</v>
      </c>
      <c r="O1488" s="42" t="str">
        <f>VLOOKUP($D1488,Sheet1!$G$5:$I$192,2,TRUE)</f>
        <v>)//|</v>
      </c>
      <c r="P1488" s="23">
        <v>1</v>
      </c>
      <c r="Q1488" s="43" t="str">
        <f>VLOOKUP($D1488,Sheet1!$J$5:$L$192,2,TRUE)</f>
        <v>)//|</v>
      </c>
      <c r="R1488" s="23">
        <f>FLOOR(VLOOKUP($D1488,Sheet1!$M$5:$O$192,3,TRUE),1)</f>
        <v>95</v>
      </c>
      <c r="S1488" s="42" t="str">
        <f>VLOOKUP($D1488,Sheet1!$M$5:$O$192,2,TRUE)</f>
        <v>)//|</v>
      </c>
      <c r="T1488" s="117">
        <f>IF(ABS(D1488-VLOOKUP($D1488,Sheet1!$M$5:$T$192,8,TRUE))&lt;10^-10,"SoCA",D1488-VLOOKUP($D1488,Sheet1!$M$5:$T$192,8,TRUE))</f>
        <v>-0.23080196130852926</v>
      </c>
      <c r="U1488" s="109" t="str">
        <f>IF(VLOOKUP($D1488,Sheet1!$M$5:$U$192,9,TRUE)=0,"",IF(ABS(D1488-VLOOKUP($D1488,Sheet1!$M$5:$U$192,9,TRUE))&lt;10^-10,"Alt.",D1488-VLOOKUP($D1488,Sheet1!$M$5:$U$192,9,TRUE)))</f>
        <v/>
      </c>
      <c r="V1488" s="132">
        <f>$D1488-Sheet1!$M$3*$R1488</f>
        <v>-0.18911320714896362</v>
      </c>
      <c r="Z1488" s="6"/>
      <c r="AA1488" s="61"/>
    </row>
    <row r="1489" spans="1:27" ht="13.5">
      <c r="A1489" t="s">
        <v>1299</v>
      </c>
      <c r="B1489">
        <v>172480</v>
      </c>
      <c r="C1489">
        <v>177147</v>
      </c>
      <c r="D1489" s="13">
        <f t="shared" si="30"/>
        <v>46.221540351420266</v>
      </c>
      <c r="E1489" s="61">
        <v>11</v>
      </c>
      <c r="F1489" s="65">
        <v>76.331819605753736</v>
      </c>
      <c r="G1489" s="6">
        <v>1057</v>
      </c>
      <c r="H1489" s="6">
        <v>1148</v>
      </c>
      <c r="I1489" s="65">
        <v>8.1539713663234359</v>
      </c>
      <c r="J1489" s="6">
        <f>VLOOKUP($D1489,Sheet1!$A$5:$C$192,3,TRUE)</f>
        <v>9</v>
      </c>
      <c r="K1489" s="42" t="str">
        <f>VLOOKUP($D1489,Sheet1!$A$5:$C$192,2,TRUE)</f>
        <v>/|)</v>
      </c>
      <c r="L1489" s="6">
        <f>FLOOR(VLOOKUP($D1489,Sheet1!$D$5:$F$192,3,TRUE),1)</f>
        <v>19</v>
      </c>
      <c r="M1489" s="42" t="str">
        <f>VLOOKUP($D1489,Sheet1!$D$5:$F$192,2,TRUE)</f>
        <v>)//|</v>
      </c>
      <c r="N1489" s="23">
        <f>FLOOR(VLOOKUP($D1489,Sheet1!$G$5:$I$192,3,TRUE),1)</f>
        <v>24</v>
      </c>
      <c r="O1489" s="42" t="str">
        <f>VLOOKUP($D1489,Sheet1!$G$5:$I$192,2,TRUE)</f>
        <v>)//|</v>
      </c>
      <c r="P1489" s="23">
        <v>1</v>
      </c>
      <c r="Q1489" s="43" t="str">
        <f>VLOOKUP($D1489,Sheet1!$J$5:$L$192,2,TRUE)</f>
        <v>)//|</v>
      </c>
      <c r="R1489" s="23">
        <f>FLOOR(VLOOKUP($D1489,Sheet1!$M$5:$O$192,3,TRUE),1)</f>
        <v>95</v>
      </c>
      <c r="S1489" s="42" t="str">
        <f>VLOOKUP($D1489,Sheet1!$M$5:$O$192,2,TRUE)</f>
        <v>)//|</v>
      </c>
      <c r="T1489" s="117">
        <f>IF(ABS(D1489-VLOOKUP($D1489,Sheet1!$M$5:$T$192,8,TRUE))&lt;10^-10,"SoCA",D1489-VLOOKUP($D1489,Sheet1!$M$5:$T$192,8,TRUE))</f>
        <v>-0.17240409150596747</v>
      </c>
      <c r="U1489" s="109" t="str">
        <f>IF(VLOOKUP($D1489,Sheet1!$M$5:$U$192,9,TRUE)=0,"",IF(ABS(D1489-VLOOKUP($D1489,Sheet1!$M$5:$U$192,9,TRUE))&lt;10^-10,"Alt.",D1489-VLOOKUP($D1489,Sheet1!$M$5:$U$192,9,TRUE)))</f>
        <v/>
      </c>
      <c r="V1489" s="132">
        <f>$D1489-Sheet1!$M$3*$R1489</f>
        <v>-0.13071533734640184</v>
      </c>
      <c r="Z1489" s="6"/>
      <c r="AA1489" s="61"/>
    </row>
    <row r="1490" spans="1:27" ht="13.5">
      <c r="A1490" t="s">
        <v>642</v>
      </c>
      <c r="B1490">
        <v>376832</v>
      </c>
      <c r="C1490">
        <v>387099</v>
      </c>
      <c r="D1490" s="13">
        <f t="shared" si="30"/>
        <v>46.537318888893587</v>
      </c>
      <c r="E1490" s="61" t="s">
        <v>1931</v>
      </c>
      <c r="F1490" s="65">
        <v>85.562968767344827</v>
      </c>
      <c r="G1490" s="6">
        <v>504</v>
      </c>
      <c r="H1490" s="6">
        <v>487</v>
      </c>
      <c r="I1490" s="65">
        <v>5.1345277313273563</v>
      </c>
      <c r="J1490" s="6">
        <f>VLOOKUP($D1490,Sheet1!$A$5:$C$192,3,TRUE)</f>
        <v>9</v>
      </c>
      <c r="K1490" s="42" t="str">
        <f>VLOOKUP($D1490,Sheet1!$A$5:$C$192,2,TRUE)</f>
        <v>/|)</v>
      </c>
      <c r="L1490" s="6">
        <f>FLOOR(VLOOKUP($D1490,Sheet1!$D$5:$F$192,3,TRUE),1)</f>
        <v>19</v>
      </c>
      <c r="M1490" s="42" t="str">
        <f>VLOOKUP($D1490,Sheet1!$D$5:$F$192,2,TRUE)</f>
        <v>)//|</v>
      </c>
      <c r="N1490" s="23">
        <f>FLOOR(VLOOKUP($D1490,Sheet1!$G$5:$I$192,3,TRUE),1)</f>
        <v>24</v>
      </c>
      <c r="O1490" s="42" t="str">
        <f>VLOOKUP($D1490,Sheet1!$G$5:$I$192,2,TRUE)</f>
        <v>)//|</v>
      </c>
      <c r="P1490" s="23">
        <v>1</v>
      </c>
      <c r="Q1490" s="43" t="str">
        <f>VLOOKUP($D1490,Sheet1!$J$5:$L$192,2,TRUE)</f>
        <v>)//|</v>
      </c>
      <c r="R1490" s="23">
        <f>FLOOR(VLOOKUP($D1490,Sheet1!$M$5:$O$192,3,TRUE),1)</f>
        <v>95</v>
      </c>
      <c r="S1490" s="42" t="str">
        <f>VLOOKUP($D1490,Sheet1!$M$5:$O$192,2,TRUE)</f>
        <v>)//|</v>
      </c>
      <c r="T1490" s="117">
        <f>IF(ABS(D1490-VLOOKUP($D1490,Sheet1!$M$5:$T$192,8,TRUE))&lt;10^-10,"SoCA",D1490-VLOOKUP($D1490,Sheet1!$M$5:$T$192,8,TRUE))</f>
        <v>0.14337444596735338</v>
      </c>
      <c r="U1490" s="109" t="str">
        <f>IF(VLOOKUP($D1490,Sheet1!$M$5:$U$192,9,TRUE)=0,"",IF(ABS(D1490-VLOOKUP($D1490,Sheet1!$M$5:$U$192,9,TRUE))&lt;10^-10,"Alt.",D1490-VLOOKUP($D1490,Sheet1!$M$5:$U$192,9,TRUE)))</f>
        <v/>
      </c>
      <c r="V1490" s="132">
        <f>$D1490-Sheet1!$M$3*$R1490</f>
        <v>0.18506320012691901</v>
      </c>
      <c r="Z1490" s="6"/>
      <c r="AA1490" s="61"/>
    </row>
    <row r="1491" spans="1:27" ht="13.5">
      <c r="A1491" t="s">
        <v>918</v>
      </c>
      <c r="B1491">
        <v>765625</v>
      </c>
      <c r="C1491">
        <v>786432</v>
      </c>
      <c r="D1491" s="13">
        <f t="shared" si="30"/>
        <v>46.420904738128641</v>
      </c>
      <c r="E1491" s="61">
        <v>7</v>
      </c>
      <c r="F1491" s="65">
        <v>114.45949424569163</v>
      </c>
      <c r="G1491" s="6">
        <v>827</v>
      </c>
      <c r="H1491" s="6">
        <v>766</v>
      </c>
      <c r="I1491" s="65">
        <v>-1.8583042252902047</v>
      </c>
      <c r="J1491" s="6">
        <f>VLOOKUP($D1491,Sheet1!$A$5:$C$192,3,TRUE)</f>
        <v>9</v>
      </c>
      <c r="K1491" s="42" t="str">
        <f>VLOOKUP($D1491,Sheet1!$A$5:$C$192,2,TRUE)</f>
        <v>/|)</v>
      </c>
      <c r="L1491" s="6">
        <f>FLOOR(VLOOKUP($D1491,Sheet1!$D$5:$F$192,3,TRUE),1)</f>
        <v>19</v>
      </c>
      <c r="M1491" s="42" t="str">
        <f>VLOOKUP($D1491,Sheet1!$D$5:$F$192,2,TRUE)</f>
        <v>)//|</v>
      </c>
      <c r="N1491" s="23">
        <f>FLOOR(VLOOKUP($D1491,Sheet1!$G$5:$I$192,3,TRUE),1)</f>
        <v>24</v>
      </c>
      <c r="O1491" s="42" t="str">
        <f>VLOOKUP($D1491,Sheet1!$G$5:$I$192,2,TRUE)</f>
        <v>)//|</v>
      </c>
      <c r="P1491" s="23">
        <v>1</v>
      </c>
      <c r="Q1491" s="43" t="str">
        <f>VLOOKUP($D1491,Sheet1!$J$5:$L$192,2,TRUE)</f>
        <v>)//|</v>
      </c>
      <c r="R1491" s="23">
        <f>FLOOR(VLOOKUP($D1491,Sheet1!$M$5:$O$192,3,TRUE),1)</f>
        <v>95</v>
      </c>
      <c r="S1491" s="42" t="str">
        <f>VLOOKUP($D1491,Sheet1!$M$5:$O$192,2,TRUE)</f>
        <v>)//|</v>
      </c>
      <c r="T1491" s="117">
        <f>IF(ABS(D1491-VLOOKUP($D1491,Sheet1!$M$5:$T$192,8,TRUE))&lt;10^-10,"SoCA",D1491-VLOOKUP($D1491,Sheet1!$M$5:$T$192,8,TRUE))</f>
        <v>2.6960295202407281E-2</v>
      </c>
      <c r="U1491" s="109" t="str">
        <f>IF(VLOOKUP($D1491,Sheet1!$M$5:$U$192,9,TRUE)=0,"",IF(ABS(D1491-VLOOKUP($D1491,Sheet1!$M$5:$U$192,9,TRUE))&lt;10^-10,"Alt.",D1491-VLOOKUP($D1491,Sheet1!$M$5:$U$192,9,TRUE)))</f>
        <v/>
      </c>
      <c r="V1491" s="132">
        <f>$D1491-Sheet1!$M$3*$R1491</f>
        <v>6.8649049361972914E-2</v>
      </c>
      <c r="Z1491" s="6"/>
      <c r="AA1491" s="61"/>
    </row>
    <row r="1492" spans="1:27" ht="13.5">
      <c r="A1492" s="6" t="s">
        <v>1908</v>
      </c>
      <c r="B1492">
        <v>925101</v>
      </c>
      <c r="C1492">
        <v>950272</v>
      </c>
      <c r="D1492" s="13">
        <f t="shared" si="30"/>
        <v>46.475564351434869</v>
      </c>
      <c r="E1492" s="61">
        <v>47</v>
      </c>
      <c r="F1492" s="65">
        <v>126.94522440029533</v>
      </c>
      <c r="G1492" s="59">
        <v>1748</v>
      </c>
      <c r="H1492" s="63">
        <v>1000113</v>
      </c>
      <c r="I1492" s="65">
        <v>-11.861669816817281</v>
      </c>
      <c r="J1492" s="6">
        <f>VLOOKUP($D1492,Sheet1!$A$5:$C$192,3,TRUE)</f>
        <v>9</v>
      </c>
      <c r="K1492" s="42" t="str">
        <f>VLOOKUP($D1492,Sheet1!$A$5:$C$192,2,TRUE)</f>
        <v>/|)</v>
      </c>
      <c r="L1492" s="6">
        <f>FLOOR(VLOOKUP($D1492,Sheet1!$D$5:$F$192,3,TRUE),1)</f>
        <v>19</v>
      </c>
      <c r="M1492" s="42" t="str">
        <f>VLOOKUP($D1492,Sheet1!$D$5:$F$192,2,TRUE)</f>
        <v>)//|</v>
      </c>
      <c r="N1492" s="23">
        <f>FLOOR(VLOOKUP($D1492,Sheet1!$G$5:$I$192,3,TRUE),1)</f>
        <v>24</v>
      </c>
      <c r="O1492" s="42" t="str">
        <f>VLOOKUP($D1492,Sheet1!$G$5:$I$192,2,TRUE)</f>
        <v>)//|</v>
      </c>
      <c r="P1492" s="23">
        <v>1</v>
      </c>
      <c r="Q1492" s="43" t="str">
        <f>VLOOKUP($D1492,Sheet1!$J$5:$L$192,2,TRUE)</f>
        <v>)//|</v>
      </c>
      <c r="R1492" s="23">
        <f>FLOOR(VLOOKUP($D1492,Sheet1!$M$5:$O$192,3,TRUE),1)</f>
        <v>95</v>
      </c>
      <c r="S1492" s="42" t="str">
        <f>VLOOKUP($D1492,Sheet1!$M$5:$O$192,2,TRUE)</f>
        <v>)//|</v>
      </c>
      <c r="T1492" s="117">
        <f>IF(ABS(D1492-VLOOKUP($D1492,Sheet1!$M$5:$T$192,8,TRUE))&lt;10^-10,"SoCA",D1492-VLOOKUP($D1492,Sheet1!$M$5:$T$192,8,TRUE))</f>
        <v>8.1619908508635319E-2</v>
      </c>
      <c r="U1492" s="109" t="str">
        <f>IF(VLOOKUP($D1492,Sheet1!$M$5:$U$192,9,TRUE)=0,"",IF(ABS(D1492-VLOOKUP($D1492,Sheet1!$M$5:$U$192,9,TRUE))&lt;10^-10,"Alt.",D1492-VLOOKUP($D1492,Sheet1!$M$5:$U$192,9,TRUE)))</f>
        <v/>
      </c>
      <c r="V1492" s="132">
        <f>$D1492-Sheet1!$M$3*$R1492</f>
        <v>0.12330866266820095</v>
      </c>
      <c r="Z1492" s="6"/>
      <c r="AA1492" s="61"/>
    </row>
    <row r="1493" spans="1:27" ht="13.5">
      <c r="A1493" t="s">
        <v>1116</v>
      </c>
      <c r="B1493">
        <v>147</v>
      </c>
      <c r="C1493">
        <v>151</v>
      </c>
      <c r="D1493" s="13">
        <f t="shared" si="30"/>
        <v>46.478873386457465</v>
      </c>
      <c r="E1493" s="61" t="s">
        <v>1931</v>
      </c>
      <c r="F1493" s="65">
        <v>198.2338076153477</v>
      </c>
      <c r="G1493" s="6">
        <v>1027</v>
      </c>
      <c r="H1493" s="6">
        <v>965</v>
      </c>
      <c r="I1493" s="65">
        <v>-3.8618735661590944</v>
      </c>
      <c r="J1493" s="6">
        <f>VLOOKUP($D1493,Sheet1!$A$5:$C$192,3,TRUE)</f>
        <v>9</v>
      </c>
      <c r="K1493" s="42" t="str">
        <f>VLOOKUP($D1493,Sheet1!$A$5:$C$192,2,TRUE)</f>
        <v>/|)</v>
      </c>
      <c r="L1493" s="6">
        <f>FLOOR(VLOOKUP($D1493,Sheet1!$D$5:$F$192,3,TRUE),1)</f>
        <v>19</v>
      </c>
      <c r="M1493" s="42" t="str">
        <f>VLOOKUP($D1493,Sheet1!$D$5:$F$192,2,TRUE)</f>
        <v>)//|</v>
      </c>
      <c r="N1493" s="23">
        <f>FLOOR(VLOOKUP($D1493,Sheet1!$G$5:$I$192,3,TRUE),1)</f>
        <v>24</v>
      </c>
      <c r="O1493" s="42" t="str">
        <f>VLOOKUP($D1493,Sheet1!$G$5:$I$192,2,TRUE)</f>
        <v>)//|</v>
      </c>
      <c r="P1493" s="23">
        <v>1</v>
      </c>
      <c r="Q1493" s="43" t="str">
        <f>VLOOKUP($D1493,Sheet1!$J$5:$L$192,2,TRUE)</f>
        <v>)//|</v>
      </c>
      <c r="R1493" s="23">
        <f>FLOOR(VLOOKUP($D1493,Sheet1!$M$5:$O$192,3,TRUE),1)</f>
        <v>95</v>
      </c>
      <c r="S1493" s="42" t="str">
        <f>VLOOKUP($D1493,Sheet1!$M$5:$O$192,2,TRUE)</f>
        <v>)//|</v>
      </c>
      <c r="T1493" s="117">
        <f>IF(ABS(D1493-VLOOKUP($D1493,Sheet1!$M$5:$T$192,8,TRUE))&lt;10^-10,"SoCA",D1493-VLOOKUP($D1493,Sheet1!$M$5:$T$192,8,TRUE))</f>
        <v>8.4928943531231482E-2</v>
      </c>
      <c r="U1493" s="109" t="str">
        <f>IF(VLOOKUP($D1493,Sheet1!$M$5:$U$192,9,TRUE)=0,"",IF(ABS(D1493-VLOOKUP($D1493,Sheet1!$M$5:$U$192,9,TRUE))&lt;10^-10,"Alt.",D1493-VLOOKUP($D1493,Sheet1!$M$5:$U$192,9,TRUE)))</f>
        <v/>
      </c>
      <c r="V1493" s="132">
        <f>$D1493-Sheet1!$M$3*$R1493</f>
        <v>0.12661769769079712</v>
      </c>
      <c r="Z1493" s="6"/>
      <c r="AA1493" s="61"/>
    </row>
    <row r="1494" spans="1:27" ht="13.5">
      <c r="A1494" t="s">
        <v>1209</v>
      </c>
      <c r="B1494">
        <v>3069</v>
      </c>
      <c r="C1494">
        <v>3152</v>
      </c>
      <c r="D1494" s="13">
        <f t="shared" si="30"/>
        <v>46.198666787869563</v>
      </c>
      <c r="E1494" s="61" t="s">
        <v>1931</v>
      </c>
      <c r="F1494" s="65">
        <v>287.29589192908276</v>
      </c>
      <c r="G1494" s="6">
        <v>1115</v>
      </c>
      <c r="H1494" s="6">
        <v>1058</v>
      </c>
      <c r="I1494" s="65">
        <v>-4.8446202250358184</v>
      </c>
      <c r="J1494" s="6">
        <f>VLOOKUP($D1494,Sheet1!$A$5:$C$192,3,TRUE)</f>
        <v>9</v>
      </c>
      <c r="K1494" s="42" t="str">
        <f>VLOOKUP($D1494,Sheet1!$A$5:$C$192,2,TRUE)</f>
        <v>/|)</v>
      </c>
      <c r="L1494" s="6">
        <f>FLOOR(VLOOKUP($D1494,Sheet1!$D$5:$F$192,3,TRUE),1)</f>
        <v>19</v>
      </c>
      <c r="M1494" s="42" t="str">
        <f>VLOOKUP($D1494,Sheet1!$D$5:$F$192,2,TRUE)</f>
        <v>)//|</v>
      </c>
      <c r="N1494" s="23">
        <f>FLOOR(VLOOKUP($D1494,Sheet1!$G$5:$I$192,3,TRUE),1)</f>
        <v>24</v>
      </c>
      <c r="O1494" s="42" t="str">
        <f>VLOOKUP($D1494,Sheet1!$G$5:$I$192,2,TRUE)</f>
        <v>)//|</v>
      </c>
      <c r="P1494" s="23">
        <v>1</v>
      </c>
      <c r="Q1494" s="43" t="str">
        <f>VLOOKUP($D1494,Sheet1!$J$5:$L$192,2,TRUE)</f>
        <v>)//|</v>
      </c>
      <c r="R1494" s="23">
        <f>FLOOR(VLOOKUP($D1494,Sheet1!$M$5:$O$192,3,TRUE),1)</f>
        <v>95</v>
      </c>
      <c r="S1494" s="42" t="str">
        <f>VLOOKUP($D1494,Sheet1!$M$5:$O$192,2,TRUE)</f>
        <v>)//|</v>
      </c>
      <c r="T1494" s="117">
        <f>IF(ABS(D1494-VLOOKUP($D1494,Sheet1!$M$5:$T$192,8,TRUE))&lt;10^-10,"SoCA",D1494-VLOOKUP($D1494,Sheet1!$M$5:$T$192,8,TRUE))</f>
        <v>-0.19527765505667105</v>
      </c>
      <c r="U1494" s="109" t="str">
        <f>IF(VLOOKUP($D1494,Sheet1!$M$5:$U$192,9,TRUE)=0,"",IF(ABS(D1494-VLOOKUP($D1494,Sheet1!$M$5:$U$192,9,TRUE))&lt;10^-10,"Alt.",D1494-VLOOKUP($D1494,Sheet1!$M$5:$U$192,9,TRUE)))</f>
        <v/>
      </c>
      <c r="V1494" s="132">
        <f>$D1494-Sheet1!$M$3*$R1494</f>
        <v>-0.15358890089710542</v>
      </c>
      <c r="Z1494" s="6"/>
      <c r="AA1494" s="61"/>
    </row>
    <row r="1495" spans="1:27" ht="13.5">
      <c r="A1495" t="s">
        <v>1306</v>
      </c>
      <c r="B1495">
        <v>16389</v>
      </c>
      <c r="C1495">
        <v>16832</v>
      </c>
      <c r="D1495" s="13">
        <f t="shared" si="30"/>
        <v>46.174537047782032</v>
      </c>
      <c r="E1495" s="61" t="s">
        <v>1931</v>
      </c>
      <c r="F1495" s="65">
        <v>871.2232161686776</v>
      </c>
      <c r="G1495" s="6">
        <v>1214</v>
      </c>
      <c r="H1495" s="6">
        <v>1155</v>
      </c>
      <c r="I1495" s="65">
        <v>-5.8431344690292004</v>
      </c>
      <c r="J1495" s="6">
        <f>VLOOKUP($D1495,Sheet1!$A$5:$C$192,3,TRUE)</f>
        <v>9</v>
      </c>
      <c r="K1495" s="42" t="str">
        <f>VLOOKUP($D1495,Sheet1!$A$5:$C$192,2,TRUE)</f>
        <v>/|)</v>
      </c>
      <c r="L1495" s="6">
        <f>FLOOR(VLOOKUP($D1495,Sheet1!$D$5:$F$192,3,TRUE),1)</f>
        <v>19</v>
      </c>
      <c r="M1495" s="42" t="str">
        <f>VLOOKUP($D1495,Sheet1!$D$5:$F$192,2,TRUE)</f>
        <v>)//|</v>
      </c>
      <c r="N1495" s="23">
        <f>FLOOR(VLOOKUP($D1495,Sheet1!$G$5:$I$192,3,TRUE),1)</f>
        <v>24</v>
      </c>
      <c r="O1495" s="42" t="str">
        <f>VLOOKUP($D1495,Sheet1!$G$5:$I$192,2,TRUE)</f>
        <v>)//|</v>
      </c>
      <c r="P1495" s="23">
        <v>1</v>
      </c>
      <c r="Q1495" s="43" t="str">
        <f>VLOOKUP($D1495,Sheet1!$J$5:$L$192,2,TRUE)</f>
        <v>)//|</v>
      </c>
      <c r="R1495" s="23">
        <f>FLOOR(VLOOKUP($D1495,Sheet1!$M$5:$O$192,3,TRUE),1)</f>
        <v>95</v>
      </c>
      <c r="S1495" s="42" t="str">
        <f>VLOOKUP($D1495,Sheet1!$M$5:$O$192,2,TRUE)</f>
        <v>)//|</v>
      </c>
      <c r="T1495" s="117">
        <f>IF(ABS(D1495-VLOOKUP($D1495,Sheet1!$M$5:$T$192,8,TRUE))&lt;10^-10,"SoCA",D1495-VLOOKUP($D1495,Sheet1!$M$5:$T$192,8,TRUE))</f>
        <v>-0.21940739514420216</v>
      </c>
      <c r="U1495" s="109" t="str">
        <f>IF(VLOOKUP($D1495,Sheet1!$M$5:$U$192,9,TRUE)=0,"",IF(ABS(D1495-VLOOKUP($D1495,Sheet1!$M$5:$U$192,9,TRUE))&lt;10^-10,"Alt.",D1495-VLOOKUP($D1495,Sheet1!$M$5:$U$192,9,TRUE)))</f>
        <v/>
      </c>
      <c r="V1495" s="132">
        <f>$D1495-Sheet1!$M$3*$R1495</f>
        <v>-0.17771864098463652</v>
      </c>
      <c r="Z1495" s="6"/>
      <c r="AA1495" s="61"/>
    </row>
    <row r="1496" spans="1:27" ht="13.5">
      <c r="A1496" s="87" t="s">
        <v>186</v>
      </c>
      <c r="B1496" s="87">
        <f>3^6*5^2*7</f>
        <v>127575</v>
      </c>
      <c r="C1496" s="87">
        <f>2^17</f>
        <v>131072</v>
      </c>
      <c r="D1496" s="13">
        <f t="shared" si="30"/>
        <v>46.816660608881037</v>
      </c>
      <c r="E1496" s="61">
        <v>7</v>
      </c>
      <c r="F1496" s="65">
        <v>31.559334090593882</v>
      </c>
      <c r="G1496" s="60">
        <v>60</v>
      </c>
      <c r="H1496" s="60">
        <v>74</v>
      </c>
      <c r="I1496" s="65">
        <v>-8.8826723560695662</v>
      </c>
      <c r="J1496" s="6">
        <f>VLOOKUP($D1496,Sheet1!$A$5:$C$192,3,TRUE)</f>
        <v>9</v>
      </c>
      <c r="K1496" s="42" t="str">
        <f>VLOOKUP($D1496,Sheet1!$A$5:$C$192,2,TRUE)</f>
        <v>/|)</v>
      </c>
      <c r="L1496" s="6">
        <f>FLOOR(VLOOKUP($D1496,Sheet1!$D$5:$F$192,3,TRUE),1)</f>
        <v>19</v>
      </c>
      <c r="M1496" s="42" t="str">
        <f>VLOOKUP($D1496,Sheet1!$D$5:$F$192,2,TRUE)</f>
        <v>)//|</v>
      </c>
      <c r="N1496" s="23">
        <f>FLOOR(VLOOKUP($D1496,Sheet1!$G$5:$I$192,3,TRUE),1)</f>
        <v>24</v>
      </c>
      <c r="O1496" s="43" t="str">
        <f>VLOOKUP($D1496,Sheet1!$G$5:$I$192,2,TRUE)</f>
        <v>)//|</v>
      </c>
      <c r="P1496" s="23">
        <v>1</v>
      </c>
      <c r="Q1496" s="45" t="str">
        <f>VLOOKUP($D1496,Sheet1!$J$5:$L$192,2,TRUE)</f>
        <v>)//|'</v>
      </c>
      <c r="R1496" s="38">
        <f>FLOOR(VLOOKUP($D1496,Sheet1!$M$5:$O$192,3,TRUE),1)</f>
        <v>96</v>
      </c>
      <c r="S1496" s="45" t="str">
        <f>VLOOKUP($D1496,Sheet1!$M$5:$O$192,2,TRUE)</f>
        <v>)//|'</v>
      </c>
      <c r="T1496" s="112" t="str">
        <f>IF(ABS(D1496-VLOOKUP($D1496,Sheet1!$M$5:$T$192,8,TRUE))&lt;10^-10,"SoCA",D1496-VLOOKUP($D1496,Sheet1!$M$5:$T$192,8,TRUE))</f>
        <v>SoCA</v>
      </c>
      <c r="U1496" s="108">
        <f>IF(VLOOKUP($D1496,Sheet1!$M$5:$U$192,9,TRUE)=0,"",IF(ABS(D1496-VLOOKUP($D1496,Sheet1!$M$5:$U$192,9,TRUE))&lt;10^-10,"Alt.",D1496-VLOOKUP($D1496,Sheet1!$M$5:$U$192,9,TRUE)))</f>
        <v>2.6960295202414386E-2</v>
      </c>
      <c r="V1496" s="133">
        <f>$D1496-Sheet1!$M$3*$R1496</f>
        <v>-2.3513560820013879E-2</v>
      </c>
      <c r="Z1496" s="6"/>
      <c r="AA1496" s="61"/>
    </row>
    <row r="1497" spans="1:27" ht="13.5">
      <c r="A1497" s="23" t="s">
        <v>318</v>
      </c>
      <c r="B1497" s="23">
        <f>2^7*7*11</f>
        <v>9856</v>
      </c>
      <c r="C1497" s="23">
        <f>3^4*5^3</f>
        <v>10125</v>
      </c>
      <c r="D1497" s="13">
        <f t="shared" si="30"/>
        <v>46.617296222172399</v>
      </c>
      <c r="E1497" s="61">
        <v>11</v>
      </c>
      <c r="F1497" s="65">
        <v>39.778612464112129</v>
      </c>
      <c r="G1497" s="6">
        <v>169.1</v>
      </c>
      <c r="H1497" s="6">
        <v>149.1</v>
      </c>
      <c r="I1497" s="65">
        <v>1.1296032355440904</v>
      </c>
      <c r="J1497" s="6">
        <f>VLOOKUP($D1497,Sheet1!$A$5:$C$192,3,TRUE)</f>
        <v>9</v>
      </c>
      <c r="K1497" s="42" t="str">
        <f>VLOOKUP($D1497,Sheet1!$A$5:$C$192,2,TRUE)</f>
        <v>/|)</v>
      </c>
      <c r="L1497" s="6">
        <f>FLOOR(VLOOKUP($D1497,Sheet1!$D$5:$F$192,3,TRUE),1)</f>
        <v>19</v>
      </c>
      <c r="M1497" s="42" t="str">
        <f>VLOOKUP($D1497,Sheet1!$D$5:$F$192,2,TRUE)</f>
        <v>)//|</v>
      </c>
      <c r="N1497" s="23">
        <f>FLOOR(VLOOKUP($D1497,Sheet1!$G$5:$I$192,3,TRUE),1)</f>
        <v>24</v>
      </c>
      <c r="O1497" s="43" t="str">
        <f>VLOOKUP($D1497,Sheet1!$G$5:$I$192,2,TRUE)</f>
        <v>)//|</v>
      </c>
      <c r="P1497" s="23">
        <v>1</v>
      </c>
      <c r="Q1497" s="43" t="str">
        <f>VLOOKUP($D1497,Sheet1!$J$5:$L$192,2,TRUE)</f>
        <v>)//|'</v>
      </c>
      <c r="R1497" s="23">
        <f>FLOOR(VLOOKUP($D1497,Sheet1!$M$5:$O$192,3,TRUE),1)</f>
        <v>96</v>
      </c>
      <c r="S1497" s="43" t="str">
        <f>VLOOKUP($D1497,Sheet1!$M$5:$O$192,2,TRUE)</f>
        <v>)//|'</v>
      </c>
      <c r="T1497" s="117">
        <f>IF(ABS(D1497-VLOOKUP($D1497,Sheet1!$M$5:$T$192,8,TRUE))&lt;10^-10,"SoCA",D1497-VLOOKUP($D1497,Sheet1!$M$5:$T$192,8,TRUE))</f>
        <v>-0.19936438670865897</v>
      </c>
      <c r="U1497" s="109">
        <f>IF(VLOOKUP($D1497,Sheet1!$M$5:$U$192,9,TRUE)=0,"",IF(ABS(D1497-VLOOKUP($D1497,Sheet1!$M$5:$U$192,9,TRUE))&lt;10^-10,"Alt.",D1497-VLOOKUP($D1497,Sheet1!$M$5:$U$192,9,TRUE)))</f>
        <v>-0.17240409150622327</v>
      </c>
      <c r="V1497" s="132">
        <f>$D1497-Sheet1!$M$3*$R1497</f>
        <v>-0.22287794752865153</v>
      </c>
      <c r="Z1497" s="6"/>
      <c r="AA1497" s="61"/>
    </row>
    <row r="1498" spans="1:27" ht="13.5">
      <c r="A1498" s="6" t="s">
        <v>1233</v>
      </c>
      <c r="B1498" s="6">
        <f>2^10*7^3</f>
        <v>351232</v>
      </c>
      <c r="C1498" s="6">
        <f>3^8*5*11</f>
        <v>360855</v>
      </c>
      <c r="D1498" s="13">
        <f t="shared" si="30"/>
        <v>46.793943745315893</v>
      </c>
      <c r="E1498" s="61">
        <v>11</v>
      </c>
      <c r="F1498" s="65">
        <v>47.342121075259712</v>
      </c>
      <c r="G1498" s="6">
        <v>1143.0999999999999</v>
      </c>
      <c r="H1498" s="6">
        <v>1082.0999999999999</v>
      </c>
      <c r="I1498" s="65">
        <v>5.1187264039821807</v>
      </c>
      <c r="J1498" s="6">
        <f>VLOOKUP($D1498,Sheet1!$A$5:$C$192,3,TRUE)</f>
        <v>9</v>
      </c>
      <c r="K1498" s="42" t="str">
        <f>VLOOKUP($D1498,Sheet1!$A$5:$C$192,2,TRUE)</f>
        <v>/|)</v>
      </c>
      <c r="L1498" s="6">
        <f>FLOOR(VLOOKUP($D1498,Sheet1!$D$5:$F$192,3,TRUE),1)</f>
        <v>19</v>
      </c>
      <c r="M1498" s="42" t="str">
        <f>VLOOKUP($D1498,Sheet1!$D$5:$F$192,2,TRUE)</f>
        <v>)//|</v>
      </c>
      <c r="N1498" s="23">
        <f>FLOOR(VLOOKUP($D1498,Sheet1!$G$5:$I$192,3,TRUE),1)</f>
        <v>24</v>
      </c>
      <c r="O1498" s="42" t="str">
        <f>VLOOKUP($D1498,Sheet1!$G$5:$I$192,2,TRUE)</f>
        <v>)//|</v>
      </c>
      <c r="P1498" s="23">
        <v>1</v>
      </c>
      <c r="Q1498" s="43" t="str">
        <f>VLOOKUP($D1498,Sheet1!$J$5:$L$192,2,TRUE)</f>
        <v>)//|'</v>
      </c>
      <c r="R1498" s="23">
        <f>FLOOR(VLOOKUP($D1498,Sheet1!$M$5:$O$192,3,TRUE),1)</f>
        <v>96</v>
      </c>
      <c r="S1498" s="42" t="str">
        <f>VLOOKUP($D1498,Sheet1!$M$5:$O$192,2,TRUE)</f>
        <v>)//|'</v>
      </c>
      <c r="T1498" s="117">
        <f>IF(ABS(D1498-VLOOKUP($D1498,Sheet1!$M$5:$T$192,8,TRUE))&lt;10^-10,"SoCA",D1498-VLOOKUP($D1498,Sheet1!$M$5:$T$192,8,TRUE))</f>
        <v>-2.2716863565165113E-2</v>
      </c>
      <c r="U1498" s="109">
        <f>IF(VLOOKUP($D1498,Sheet1!$M$5:$U$192,9,TRUE)=0,"",IF(ABS(D1498-VLOOKUP($D1498,Sheet1!$M$5:$U$192,9,TRUE))&lt;10^-10,"Alt.",D1498-VLOOKUP($D1498,Sheet1!$M$5:$U$192,9,TRUE)))</f>
        <v>4.2434316372705894E-3</v>
      </c>
      <c r="V1498" s="132">
        <f>$D1498-Sheet1!$M$3*$R1498</f>
        <v>-4.6230424385157676E-2</v>
      </c>
      <c r="Z1498" s="6"/>
      <c r="AA1498" s="61"/>
    </row>
    <row r="1499" spans="1:27" ht="13.5">
      <c r="A1499" s="23" t="s">
        <v>1311</v>
      </c>
      <c r="B1499" s="23">
        <f>3^3*17*19</f>
        <v>8721</v>
      </c>
      <c r="C1499" s="23">
        <f>2^8*5*7</f>
        <v>8960</v>
      </c>
      <c r="D1499" s="13">
        <f t="shared" si="30"/>
        <v>46.80619210508749</v>
      </c>
      <c r="E1499" s="61">
        <v>19</v>
      </c>
      <c r="F1499" s="65">
        <v>48.723699282984448</v>
      </c>
      <c r="G1499" s="6">
        <v>1219</v>
      </c>
      <c r="H1499" s="6">
        <v>1160</v>
      </c>
      <c r="I1499" s="65">
        <v>-5.8820277721521617</v>
      </c>
      <c r="J1499" s="6">
        <f>VLOOKUP($D1499,Sheet1!$A$5:$C$192,3,TRUE)</f>
        <v>9</v>
      </c>
      <c r="K1499" s="42" t="str">
        <f>VLOOKUP($D1499,Sheet1!$A$5:$C$192,2,TRUE)</f>
        <v>/|)</v>
      </c>
      <c r="L1499" s="6">
        <f>FLOOR(VLOOKUP($D1499,Sheet1!$D$5:$F$192,3,TRUE),1)</f>
        <v>19</v>
      </c>
      <c r="M1499" s="42" t="str">
        <f>VLOOKUP($D1499,Sheet1!$D$5:$F$192,2,TRUE)</f>
        <v>)//|</v>
      </c>
      <c r="N1499" s="23">
        <f>FLOOR(VLOOKUP($D1499,Sheet1!$G$5:$I$192,3,TRUE),1)</f>
        <v>24</v>
      </c>
      <c r="O1499" s="42" t="str">
        <f>VLOOKUP($D1499,Sheet1!$G$5:$I$192,2,TRUE)</f>
        <v>)//|</v>
      </c>
      <c r="P1499" s="23">
        <v>1</v>
      </c>
      <c r="Q1499" s="43" t="str">
        <f>VLOOKUP($D1499,Sheet1!$J$5:$L$192,2,TRUE)</f>
        <v>)//|'</v>
      </c>
      <c r="R1499" s="23">
        <f>FLOOR(VLOOKUP($D1499,Sheet1!$M$5:$O$192,3,TRUE),1)</f>
        <v>96</v>
      </c>
      <c r="S1499" s="43" t="str">
        <f>VLOOKUP($D1499,Sheet1!$M$5:$O$192,2,TRUE)</f>
        <v>)//|'</v>
      </c>
      <c r="T1499" s="117">
        <f>IF(ABS(D1499-VLOOKUP($D1499,Sheet1!$M$5:$T$192,8,TRUE))&lt;10^-10,"SoCA",D1499-VLOOKUP($D1499,Sheet1!$M$5:$T$192,8,TRUE))</f>
        <v>-1.0468503793568118E-2</v>
      </c>
      <c r="U1499" s="109">
        <f>IF(VLOOKUP($D1499,Sheet1!$M$5:$U$192,9,TRUE)=0,"",IF(ABS(D1499-VLOOKUP($D1499,Sheet1!$M$5:$U$192,9,TRUE))&lt;10^-10,"Alt.",D1499-VLOOKUP($D1499,Sheet1!$M$5:$U$192,9,TRUE)))</f>
        <v>1.6491791408867584E-2</v>
      </c>
      <c r="V1499" s="132">
        <f>$D1499-Sheet1!$M$3*$R1499</f>
        <v>-3.3982064613560681E-2</v>
      </c>
      <c r="Z1499" s="6"/>
      <c r="AA1499" s="61"/>
    </row>
    <row r="1500" spans="1:27" ht="13.5">
      <c r="A1500" s="6" t="s">
        <v>888</v>
      </c>
      <c r="B1500" s="6">
        <f>2^16*19</f>
        <v>1245184</v>
      </c>
      <c r="C1500" s="6">
        <f>3^9*5*13</f>
        <v>1279395</v>
      </c>
      <c r="D1500" s="13">
        <f t="shared" si="30"/>
        <v>46.923367290329736</v>
      </c>
      <c r="E1500" s="61">
        <v>19</v>
      </c>
      <c r="F1500" s="65">
        <v>50.280368651835367</v>
      </c>
      <c r="G1500" s="6">
        <v>654.1</v>
      </c>
      <c r="H1500" s="6">
        <v>735.1</v>
      </c>
      <c r="I1500" s="65">
        <v>6.1107573248000318</v>
      </c>
      <c r="J1500" s="6">
        <f>VLOOKUP($D1500,Sheet1!$A$5:$C$192,3,TRUE)</f>
        <v>9</v>
      </c>
      <c r="K1500" s="42" t="str">
        <f>VLOOKUP($D1500,Sheet1!$A$5:$C$192,2,TRUE)</f>
        <v>/|)</v>
      </c>
      <c r="L1500" s="6">
        <f>FLOOR(VLOOKUP($D1500,Sheet1!$D$5:$F$192,3,TRUE),1)</f>
        <v>19</v>
      </c>
      <c r="M1500" s="42" t="str">
        <f>VLOOKUP($D1500,Sheet1!$D$5:$F$192,2,TRUE)</f>
        <v>)//|</v>
      </c>
      <c r="N1500" s="23">
        <f>FLOOR(VLOOKUP($D1500,Sheet1!$G$5:$I$192,3,TRUE),1)</f>
        <v>24</v>
      </c>
      <c r="O1500" s="42" t="str">
        <f>VLOOKUP($D1500,Sheet1!$G$5:$I$192,2,TRUE)</f>
        <v>)//|</v>
      </c>
      <c r="P1500" s="23">
        <v>1</v>
      </c>
      <c r="Q1500" s="43" t="str">
        <f>VLOOKUP($D1500,Sheet1!$J$5:$L$192,2,TRUE)</f>
        <v>)//|'</v>
      </c>
      <c r="R1500" s="23">
        <f>FLOOR(VLOOKUP($D1500,Sheet1!$M$5:$O$192,3,TRUE),1)</f>
        <v>96</v>
      </c>
      <c r="S1500" s="42" t="str">
        <f>VLOOKUP($D1500,Sheet1!$M$5:$O$192,2,TRUE)</f>
        <v>)//|'</v>
      </c>
      <c r="T1500" s="117">
        <f>IF(ABS(D1500-VLOOKUP($D1500,Sheet1!$M$5:$T$192,8,TRUE))&lt;10^-10,"SoCA",D1500-VLOOKUP($D1500,Sheet1!$M$5:$T$192,8,TRUE))</f>
        <v>0.1067066814486779</v>
      </c>
      <c r="U1500" s="109">
        <f>IF(VLOOKUP($D1500,Sheet1!$M$5:$U$192,9,TRUE)=0,"",IF(ABS(D1500-VLOOKUP($D1500,Sheet1!$M$5:$U$192,9,TRUE))&lt;10^-10,"Alt.",D1500-VLOOKUP($D1500,Sheet1!$M$5:$U$192,9,TRUE)))</f>
        <v>0.1336669766511136</v>
      </c>
      <c r="V1500" s="132">
        <f>$D1500-Sheet1!$M$3*$R1500</f>
        <v>8.3193120628685335E-2</v>
      </c>
      <c r="Z1500" s="6"/>
      <c r="AA1500" s="61"/>
    </row>
    <row r="1501" spans="1:27" ht="13.5">
      <c r="A1501" s="23" t="s">
        <v>1981</v>
      </c>
      <c r="B1501" s="23">
        <f>5*13*23</f>
        <v>1495</v>
      </c>
      <c r="C1501" s="23">
        <f>2^9*3</f>
        <v>1536</v>
      </c>
      <c r="D1501" s="13">
        <f t="shared" si="30"/>
        <v>46.839277962826372</v>
      </c>
      <c r="E1501" s="22">
        <v>23</v>
      </c>
      <c r="F1501" s="65">
        <v>65.659124905558571</v>
      </c>
      <c r="G1501" s="18">
        <v>2000000</v>
      </c>
      <c r="H1501" s="18">
        <v>2000000</v>
      </c>
      <c r="I1501" s="92">
        <v>3.8347014096017124E-2</v>
      </c>
      <c r="J1501" s="6">
        <f>VLOOKUP($D1501,Sheet1!$A$5:$C$192,3,TRUE)</f>
        <v>9</v>
      </c>
      <c r="K1501" s="42" t="str">
        <f>VLOOKUP($D1501,Sheet1!$A$5:$C$192,2,TRUE)</f>
        <v>/|)</v>
      </c>
      <c r="L1501" s="6">
        <f>FLOOR(VLOOKUP($D1501,Sheet1!$D$5:$F$192,3,TRUE),1)</f>
        <v>19</v>
      </c>
      <c r="M1501" s="42" t="str">
        <f>VLOOKUP($D1501,Sheet1!$D$5:$F$192,2,TRUE)</f>
        <v>)//|</v>
      </c>
      <c r="N1501" s="23">
        <f>FLOOR(VLOOKUP($D1501,Sheet1!$G$5:$I$192,3,TRUE),1)</f>
        <v>24</v>
      </c>
      <c r="O1501" s="42" t="str">
        <f>VLOOKUP($D1501,Sheet1!$G$5:$I$192,2,TRUE)</f>
        <v>)//|</v>
      </c>
      <c r="P1501" s="23">
        <v>1</v>
      </c>
      <c r="Q1501" s="43" t="str">
        <f>VLOOKUP($D1501,Sheet1!$J$5:$L$192,2,TRUE)</f>
        <v>)//|'</v>
      </c>
      <c r="R1501" s="23">
        <f>FLOOR(VLOOKUP($D1501,Sheet1!$M$5:$O$192,3,TRUE),1)</f>
        <v>96</v>
      </c>
      <c r="S1501" s="43" t="str">
        <f>VLOOKUP($D1501,Sheet1!$M$5:$O$192,2,TRUE)</f>
        <v>)//|'</v>
      </c>
      <c r="T1501" s="117">
        <f>IF(ABS(D1501-VLOOKUP($D1501,Sheet1!$M$5:$T$192,8,TRUE))&lt;10^-10,"SoCA",D1501-VLOOKUP($D1501,Sheet1!$M$5:$T$192,8,TRUE))</f>
        <v>2.2617353945314278E-2</v>
      </c>
      <c r="U1501" s="117">
        <f>IF(VLOOKUP($D1501,Sheet1!$M$5:$U$192,9,TRUE)=0,"",IF(ABS(D1501-VLOOKUP($D1501,Sheet1!$M$5:$U$192,9,TRUE))&lt;10^-10,"Alt.",D1501-VLOOKUP($D1501,Sheet1!$M$5:$U$192,9,TRUE)))</f>
        <v>4.957764914774998E-2</v>
      </c>
      <c r="V1501" s="132">
        <f>$D1501-Sheet1!$M$3*$R1501</f>
        <v>-8.9620687467828475E-4</v>
      </c>
      <c r="Z1501" s="6"/>
      <c r="AA1501" s="61"/>
    </row>
    <row r="1502" spans="1:27" ht="13.5">
      <c r="A1502" t="s">
        <v>810</v>
      </c>
      <c r="B1502">
        <v>403</v>
      </c>
      <c r="C1502">
        <v>414</v>
      </c>
      <c r="D1502" s="13">
        <f t="shared" si="30"/>
        <v>46.621114765629315</v>
      </c>
      <c r="E1502" s="61">
        <v>31</v>
      </c>
      <c r="F1502" s="65">
        <v>80.468164915632514</v>
      </c>
      <c r="G1502" s="6">
        <v>746</v>
      </c>
      <c r="H1502" s="6">
        <v>657</v>
      </c>
      <c r="I1502" s="65">
        <v>-0.8706318860882627</v>
      </c>
      <c r="J1502" s="6">
        <f>VLOOKUP($D1502,Sheet1!$A$5:$C$192,3,TRUE)</f>
        <v>9</v>
      </c>
      <c r="K1502" s="42" t="str">
        <f>VLOOKUP($D1502,Sheet1!$A$5:$C$192,2,TRUE)</f>
        <v>/|)</v>
      </c>
      <c r="L1502" s="6">
        <f>FLOOR(VLOOKUP($D1502,Sheet1!$D$5:$F$192,3,TRUE),1)</f>
        <v>19</v>
      </c>
      <c r="M1502" s="42" t="str">
        <f>VLOOKUP($D1502,Sheet1!$D$5:$F$192,2,TRUE)</f>
        <v>)//|</v>
      </c>
      <c r="N1502" s="23">
        <f>FLOOR(VLOOKUP($D1502,Sheet1!$G$5:$I$192,3,TRUE),1)</f>
        <v>24</v>
      </c>
      <c r="O1502" s="42" t="str">
        <f>VLOOKUP($D1502,Sheet1!$G$5:$I$192,2,TRUE)</f>
        <v>)//|</v>
      </c>
      <c r="P1502" s="23">
        <v>1</v>
      </c>
      <c r="Q1502" s="43" t="str">
        <f>VLOOKUP($D1502,Sheet1!$J$5:$L$192,2,TRUE)</f>
        <v>)//|'</v>
      </c>
      <c r="R1502" s="23">
        <f>FLOOR(VLOOKUP($D1502,Sheet1!$M$5:$O$192,3,TRUE),1)</f>
        <v>96</v>
      </c>
      <c r="S1502" s="42" t="str">
        <f>VLOOKUP($D1502,Sheet1!$M$5:$O$192,2,TRUE)</f>
        <v>)//|'</v>
      </c>
      <c r="T1502" s="117">
        <f>IF(ABS(D1502-VLOOKUP($D1502,Sheet1!$M$5:$T$192,8,TRUE))&lt;10^-10,"SoCA",D1502-VLOOKUP($D1502,Sheet1!$M$5:$T$192,8,TRUE))</f>
        <v>-0.19554584325174318</v>
      </c>
      <c r="U1502" s="109">
        <f>IF(VLOOKUP($D1502,Sheet1!$M$5:$U$192,9,TRUE)=0,"",IF(ABS(D1502-VLOOKUP($D1502,Sheet1!$M$5:$U$192,9,TRUE))&lt;10^-10,"Alt.",D1502-VLOOKUP($D1502,Sheet1!$M$5:$U$192,9,TRUE)))</f>
        <v>-0.16858554804930748</v>
      </c>
      <c r="V1502" s="132">
        <f>$D1502-Sheet1!$M$3*$R1502</f>
        <v>-0.21905940407173574</v>
      </c>
      <c r="Z1502" s="6"/>
      <c r="AA1502" s="61"/>
    </row>
    <row r="1503" spans="1:27" ht="13.5">
      <c r="A1503" t="s">
        <v>1484</v>
      </c>
      <c r="B1503">
        <v>3620864</v>
      </c>
      <c r="C1503">
        <v>3720087</v>
      </c>
      <c r="D1503" s="13">
        <f t="shared" si="30"/>
        <v>46.802845584055987</v>
      </c>
      <c r="E1503" s="61">
        <v>17</v>
      </c>
      <c r="F1503" s="65">
        <v>91.471800343280492</v>
      </c>
      <c r="G1503" s="6">
        <v>1262</v>
      </c>
      <c r="H1503" s="6">
        <v>1333</v>
      </c>
      <c r="I1503" s="65">
        <v>9.1181782853397877</v>
      </c>
      <c r="J1503" s="6">
        <f>VLOOKUP($D1503,Sheet1!$A$5:$C$192,3,TRUE)</f>
        <v>9</v>
      </c>
      <c r="K1503" s="42" t="str">
        <f>VLOOKUP($D1503,Sheet1!$A$5:$C$192,2,TRUE)</f>
        <v>/|)</v>
      </c>
      <c r="L1503" s="6">
        <f>FLOOR(VLOOKUP($D1503,Sheet1!$D$5:$F$192,3,TRUE),1)</f>
        <v>19</v>
      </c>
      <c r="M1503" s="42" t="str">
        <f>VLOOKUP($D1503,Sheet1!$D$5:$F$192,2,TRUE)</f>
        <v>)//|</v>
      </c>
      <c r="N1503" s="23">
        <f>FLOOR(VLOOKUP($D1503,Sheet1!$G$5:$I$192,3,TRUE),1)</f>
        <v>24</v>
      </c>
      <c r="O1503" s="42" t="str">
        <f>VLOOKUP($D1503,Sheet1!$G$5:$I$192,2,TRUE)</f>
        <v>)//|</v>
      </c>
      <c r="P1503" s="23">
        <v>1</v>
      </c>
      <c r="Q1503" s="43" t="str">
        <f>VLOOKUP($D1503,Sheet1!$J$5:$L$192,2,TRUE)</f>
        <v>)//|'</v>
      </c>
      <c r="R1503" s="23">
        <f>FLOOR(VLOOKUP($D1503,Sheet1!$M$5:$O$192,3,TRUE),1)</f>
        <v>96</v>
      </c>
      <c r="S1503" s="42" t="str">
        <f>VLOOKUP($D1503,Sheet1!$M$5:$O$192,2,TRUE)</f>
        <v>)//|'</v>
      </c>
      <c r="T1503" s="117">
        <f>IF(ABS(D1503-VLOOKUP($D1503,Sheet1!$M$5:$T$192,8,TRUE))&lt;10^-10,"SoCA",D1503-VLOOKUP($D1503,Sheet1!$M$5:$T$192,8,TRUE))</f>
        <v>-1.3815024825071021E-2</v>
      </c>
      <c r="U1503" s="109">
        <f>IF(VLOOKUP($D1503,Sheet1!$M$5:$U$192,9,TRUE)=0,"",IF(ABS(D1503-VLOOKUP($D1503,Sheet1!$M$5:$U$192,9,TRUE))&lt;10^-10,"Alt.",D1503-VLOOKUP($D1503,Sheet1!$M$5:$U$192,9,TRUE)))</f>
        <v>1.3145270377364682E-2</v>
      </c>
      <c r="V1503" s="132">
        <f>$D1503-Sheet1!$M$3*$R1503</f>
        <v>-3.7328585645063583E-2</v>
      </c>
      <c r="Z1503" s="6"/>
      <c r="AA1503" s="61"/>
    </row>
    <row r="1504" spans="1:27" ht="13.5">
      <c r="A1504" t="s">
        <v>1614</v>
      </c>
      <c r="B1504">
        <v>48843</v>
      </c>
      <c r="C1504">
        <v>50176</v>
      </c>
      <c r="D1504" s="13">
        <f t="shared" si="30"/>
        <v>46.614779196598526</v>
      </c>
      <c r="E1504" s="61" t="s">
        <v>1931</v>
      </c>
      <c r="F1504" s="65">
        <v>103.69280634692687</v>
      </c>
      <c r="G1504" s="6">
        <v>1519</v>
      </c>
      <c r="H1504" s="6">
        <v>1463</v>
      </c>
      <c r="I1504" s="65">
        <v>-8.8702417820213029</v>
      </c>
      <c r="J1504" s="6">
        <f>VLOOKUP($D1504,Sheet1!$A$5:$C$192,3,TRUE)</f>
        <v>9</v>
      </c>
      <c r="K1504" s="42" t="str">
        <f>VLOOKUP($D1504,Sheet1!$A$5:$C$192,2,TRUE)</f>
        <v>/|)</v>
      </c>
      <c r="L1504" s="6">
        <f>FLOOR(VLOOKUP($D1504,Sheet1!$D$5:$F$192,3,TRUE),1)</f>
        <v>19</v>
      </c>
      <c r="M1504" s="42" t="str">
        <f>VLOOKUP($D1504,Sheet1!$D$5:$F$192,2,TRUE)</f>
        <v>)//|</v>
      </c>
      <c r="N1504" s="23">
        <f>FLOOR(VLOOKUP($D1504,Sheet1!$G$5:$I$192,3,TRUE),1)</f>
        <v>24</v>
      </c>
      <c r="O1504" s="42" t="str">
        <f>VLOOKUP($D1504,Sheet1!$G$5:$I$192,2,TRUE)</f>
        <v>)//|</v>
      </c>
      <c r="P1504" s="23">
        <v>1</v>
      </c>
      <c r="Q1504" s="43" t="str">
        <f>VLOOKUP($D1504,Sheet1!$J$5:$L$192,2,TRUE)</f>
        <v>)//|'</v>
      </c>
      <c r="R1504" s="23">
        <f>FLOOR(VLOOKUP($D1504,Sheet1!$M$5:$O$192,3,TRUE),1)</f>
        <v>96</v>
      </c>
      <c r="S1504" s="42" t="str">
        <f>VLOOKUP($D1504,Sheet1!$M$5:$O$192,2,TRUE)</f>
        <v>)//|'</v>
      </c>
      <c r="T1504" s="117">
        <f>IF(ABS(D1504-VLOOKUP($D1504,Sheet1!$M$5:$T$192,8,TRUE))&lt;10^-10,"SoCA",D1504-VLOOKUP($D1504,Sheet1!$M$5:$T$192,8,TRUE))</f>
        <v>-0.20188141228253187</v>
      </c>
      <c r="U1504" s="109">
        <f>IF(VLOOKUP($D1504,Sheet1!$M$5:$U$192,9,TRUE)=0,"",IF(ABS(D1504-VLOOKUP($D1504,Sheet1!$M$5:$U$192,9,TRUE))&lt;10^-10,"Alt.",D1504-VLOOKUP($D1504,Sheet1!$M$5:$U$192,9,TRUE)))</f>
        <v>-0.17492111708009617</v>
      </c>
      <c r="V1504" s="132">
        <f>$D1504-Sheet1!$M$3*$R1504</f>
        <v>-0.22539497310252443</v>
      </c>
      <c r="Z1504" s="6"/>
      <c r="AA1504" s="61"/>
    </row>
    <row r="1505" spans="1:27" ht="13.5">
      <c r="A1505" t="s">
        <v>1031</v>
      </c>
      <c r="B1505">
        <v>24832</v>
      </c>
      <c r="C1505">
        <v>25515</v>
      </c>
      <c r="D1505" s="13">
        <f t="shared" si="30"/>
        <v>46.974214901731131</v>
      </c>
      <c r="E1505" s="61" t="s">
        <v>1931</v>
      </c>
      <c r="F1505" s="65">
        <v>131.74466249467881</v>
      </c>
      <c r="G1505" s="6">
        <v>950</v>
      </c>
      <c r="H1505" s="6">
        <v>879</v>
      </c>
      <c r="I1505" s="65">
        <v>3.1076264521181143</v>
      </c>
      <c r="J1505" s="6">
        <f>VLOOKUP($D1505,Sheet1!$A$5:$C$192,3,TRUE)</f>
        <v>9</v>
      </c>
      <c r="K1505" s="42" t="str">
        <f>VLOOKUP($D1505,Sheet1!$A$5:$C$192,2,TRUE)</f>
        <v>/|)</v>
      </c>
      <c r="L1505" s="6">
        <f>FLOOR(VLOOKUP($D1505,Sheet1!$D$5:$F$192,3,TRUE),1)</f>
        <v>19</v>
      </c>
      <c r="M1505" s="42" t="str">
        <f>VLOOKUP($D1505,Sheet1!$D$5:$F$192,2,TRUE)</f>
        <v>)//|</v>
      </c>
      <c r="N1505" s="23">
        <f>FLOOR(VLOOKUP($D1505,Sheet1!$G$5:$I$192,3,TRUE),1)</f>
        <v>24</v>
      </c>
      <c r="O1505" s="42" t="str">
        <f>VLOOKUP($D1505,Sheet1!$G$5:$I$192,2,TRUE)</f>
        <v>)//|</v>
      </c>
      <c r="P1505" s="23">
        <v>1</v>
      </c>
      <c r="Q1505" s="43" t="str">
        <f>VLOOKUP($D1505,Sheet1!$J$5:$L$192,2,TRUE)</f>
        <v>)//|'</v>
      </c>
      <c r="R1505" s="23">
        <f>FLOOR(VLOOKUP($D1505,Sheet1!$M$5:$O$192,3,TRUE),1)</f>
        <v>96</v>
      </c>
      <c r="S1505" s="42" t="str">
        <f>VLOOKUP($D1505,Sheet1!$M$5:$O$192,2,TRUE)</f>
        <v>)//|'</v>
      </c>
      <c r="T1505" s="117">
        <f>IF(ABS(D1505-VLOOKUP($D1505,Sheet1!$M$5:$T$192,8,TRUE))&lt;10^-10,"SoCA",D1505-VLOOKUP($D1505,Sheet1!$M$5:$T$192,8,TRUE))</f>
        <v>0.15755429285007239</v>
      </c>
      <c r="U1505" s="109">
        <f>IF(VLOOKUP($D1505,Sheet1!$M$5:$U$192,9,TRUE)=0,"",IF(ABS(D1505-VLOOKUP($D1505,Sheet1!$M$5:$U$192,9,TRUE))&lt;10^-10,"Alt.",D1505-VLOOKUP($D1505,Sheet1!$M$5:$U$192,9,TRUE)))</f>
        <v>0.18451458805250809</v>
      </c>
      <c r="V1505" s="132">
        <f>$D1505-Sheet1!$M$3*$R1505</f>
        <v>0.13404073203007982</v>
      </c>
      <c r="Z1505" s="6"/>
      <c r="AA1505" s="61"/>
    </row>
    <row r="1506" spans="1:27" ht="13.5">
      <c r="A1506" t="s">
        <v>1617</v>
      </c>
      <c r="B1506">
        <v>32655555</v>
      </c>
      <c r="C1506">
        <v>33554432</v>
      </c>
      <c r="D1506" s="13">
        <f t="shared" si="30"/>
        <v>47.009889477775886</v>
      </c>
      <c r="E1506" s="61">
        <v>31</v>
      </c>
      <c r="F1506" s="65">
        <v>132.37791080964129</v>
      </c>
      <c r="G1506" s="6">
        <v>1522</v>
      </c>
      <c r="H1506" s="6">
        <v>1466</v>
      </c>
      <c r="I1506" s="65">
        <v>-8.8945701614985175</v>
      </c>
      <c r="J1506" s="6">
        <f>VLOOKUP($D1506,Sheet1!$A$5:$C$192,3,TRUE)</f>
        <v>9</v>
      </c>
      <c r="K1506" s="42" t="str">
        <f>VLOOKUP($D1506,Sheet1!$A$5:$C$192,2,TRUE)</f>
        <v>/|)</v>
      </c>
      <c r="L1506" s="6">
        <f>FLOOR(VLOOKUP($D1506,Sheet1!$D$5:$F$192,3,TRUE),1)</f>
        <v>19</v>
      </c>
      <c r="M1506" s="42" t="str">
        <f>VLOOKUP($D1506,Sheet1!$D$5:$F$192,2,TRUE)</f>
        <v>)//|</v>
      </c>
      <c r="N1506" s="23">
        <f>FLOOR(VLOOKUP($D1506,Sheet1!$G$5:$I$192,3,TRUE),1)</f>
        <v>24</v>
      </c>
      <c r="O1506" s="42" t="str">
        <f>VLOOKUP($D1506,Sheet1!$G$5:$I$192,2,TRUE)</f>
        <v>)//|</v>
      </c>
      <c r="P1506" s="23">
        <v>1</v>
      </c>
      <c r="Q1506" s="43" t="str">
        <f>VLOOKUP($D1506,Sheet1!$J$5:$L$192,2,TRUE)</f>
        <v>)//|'</v>
      </c>
      <c r="R1506" s="23">
        <f>FLOOR(VLOOKUP($D1506,Sheet1!$M$5:$O$192,3,TRUE),1)</f>
        <v>96</v>
      </c>
      <c r="S1506" s="42" t="str">
        <f>VLOOKUP($D1506,Sheet1!$M$5:$O$192,2,TRUE)</f>
        <v>)//|'</v>
      </c>
      <c r="T1506" s="117">
        <f>IF(ABS(D1506-VLOOKUP($D1506,Sheet1!$M$5:$T$192,8,TRUE))&lt;10^-10,"SoCA",D1506-VLOOKUP($D1506,Sheet1!$M$5:$T$192,8,TRUE))</f>
        <v>0.1932288688948276</v>
      </c>
      <c r="U1506" s="109">
        <f>IF(VLOOKUP($D1506,Sheet1!$M$5:$U$192,9,TRUE)=0,"",IF(ABS(D1506-VLOOKUP($D1506,Sheet1!$M$5:$U$192,9,TRUE))&lt;10^-10,"Alt.",D1506-VLOOKUP($D1506,Sheet1!$M$5:$U$192,9,TRUE)))</f>
        <v>0.2201891640972633</v>
      </c>
      <c r="V1506" s="132">
        <f>$D1506-Sheet1!$M$3*$R1506</f>
        <v>0.16971530807483504</v>
      </c>
      <c r="Z1506" s="6"/>
      <c r="AA1506" s="61"/>
    </row>
    <row r="1507" spans="1:27" ht="13.5">
      <c r="A1507" s="6" t="s">
        <v>1904</v>
      </c>
      <c r="B1507">
        <v>19683</v>
      </c>
      <c r="C1507">
        <v>20224</v>
      </c>
      <c r="D1507" s="13">
        <f t="shared" si="30"/>
        <v>46.941890024036567</v>
      </c>
      <c r="E1507" s="61" t="s">
        <v>1931</v>
      </c>
      <c r="F1507" s="65">
        <v>147.09458451807791</v>
      </c>
      <c r="G1507" s="59">
        <v>1742</v>
      </c>
      <c r="H1507" s="63">
        <v>1000109</v>
      </c>
      <c r="I1507" s="65">
        <v>-11.89038318739629</v>
      </c>
      <c r="J1507" s="6">
        <f>VLOOKUP($D1507,Sheet1!$A$5:$C$192,3,TRUE)</f>
        <v>9</v>
      </c>
      <c r="K1507" s="42" t="str">
        <f>VLOOKUP($D1507,Sheet1!$A$5:$C$192,2,TRUE)</f>
        <v>/|)</v>
      </c>
      <c r="L1507" s="6">
        <f>FLOOR(VLOOKUP($D1507,Sheet1!$D$5:$F$192,3,TRUE),1)</f>
        <v>19</v>
      </c>
      <c r="M1507" s="42" t="str">
        <f>VLOOKUP($D1507,Sheet1!$D$5:$F$192,2,TRUE)</f>
        <v>)//|</v>
      </c>
      <c r="N1507" s="23">
        <f>FLOOR(VLOOKUP($D1507,Sheet1!$G$5:$I$192,3,TRUE),1)</f>
        <v>24</v>
      </c>
      <c r="O1507" s="42" t="str">
        <f>VLOOKUP($D1507,Sheet1!$G$5:$I$192,2,TRUE)</f>
        <v>)//|</v>
      </c>
      <c r="P1507" s="23">
        <v>1</v>
      </c>
      <c r="Q1507" s="43" t="str">
        <f>VLOOKUP($D1507,Sheet1!$J$5:$L$192,2,TRUE)</f>
        <v>)//|'</v>
      </c>
      <c r="R1507" s="23">
        <f>FLOOR(VLOOKUP($D1507,Sheet1!$M$5:$O$192,3,TRUE),1)</f>
        <v>96</v>
      </c>
      <c r="S1507" s="42" t="str">
        <f>VLOOKUP($D1507,Sheet1!$M$5:$O$192,2,TRUE)</f>
        <v>)//|'</v>
      </c>
      <c r="T1507" s="117">
        <f>IF(ABS(D1507-VLOOKUP($D1507,Sheet1!$M$5:$T$192,8,TRUE))&lt;10^-10,"SoCA",D1507-VLOOKUP($D1507,Sheet1!$M$5:$T$192,8,TRUE))</f>
        <v>0.12522941515550912</v>
      </c>
      <c r="U1507" s="109">
        <f>IF(VLOOKUP($D1507,Sheet1!$M$5:$U$192,9,TRUE)=0,"",IF(ABS(D1507-VLOOKUP($D1507,Sheet1!$M$5:$U$192,9,TRUE))&lt;10^-10,"Alt.",D1507-VLOOKUP($D1507,Sheet1!$M$5:$U$192,9,TRUE)))</f>
        <v>0.15218971035794482</v>
      </c>
      <c r="V1507" s="132">
        <f>$D1507-Sheet1!$M$3*$R1507</f>
        <v>0.10171585433551655</v>
      </c>
      <c r="Z1507" s="6"/>
      <c r="AA1507" s="61"/>
    </row>
    <row r="1508" spans="1:27" ht="13.5">
      <c r="A1508" t="s">
        <v>1139</v>
      </c>
      <c r="B1508">
        <v>2888704</v>
      </c>
      <c r="C1508">
        <v>2967759</v>
      </c>
      <c r="D1508" s="13">
        <f t="shared" si="30"/>
        <v>46.741871857650978</v>
      </c>
      <c r="E1508" s="61" t="s">
        <v>1931</v>
      </c>
      <c r="F1508" s="65">
        <v>161.57017968393305</v>
      </c>
      <c r="G1508" s="6">
        <v>1046</v>
      </c>
      <c r="H1508" s="6">
        <v>988</v>
      </c>
      <c r="I1508" s="65">
        <v>4.1219326598139245</v>
      </c>
      <c r="J1508" s="6">
        <f>VLOOKUP($D1508,Sheet1!$A$5:$C$192,3,TRUE)</f>
        <v>9</v>
      </c>
      <c r="K1508" s="42" t="str">
        <f>VLOOKUP($D1508,Sheet1!$A$5:$C$192,2,TRUE)</f>
        <v>/|)</v>
      </c>
      <c r="L1508" s="6">
        <f>FLOOR(VLOOKUP($D1508,Sheet1!$D$5:$F$192,3,TRUE),1)</f>
        <v>19</v>
      </c>
      <c r="M1508" s="42" t="str">
        <f>VLOOKUP($D1508,Sheet1!$D$5:$F$192,2,TRUE)</f>
        <v>)//|</v>
      </c>
      <c r="N1508" s="23">
        <f>FLOOR(VLOOKUP($D1508,Sheet1!$G$5:$I$192,3,TRUE),1)</f>
        <v>24</v>
      </c>
      <c r="O1508" s="42" t="str">
        <f>VLOOKUP($D1508,Sheet1!$G$5:$I$192,2,TRUE)</f>
        <v>)//|</v>
      </c>
      <c r="P1508" s="23">
        <v>1</v>
      </c>
      <c r="Q1508" s="43" t="str">
        <f>VLOOKUP($D1508,Sheet1!$J$5:$L$192,2,TRUE)</f>
        <v>)//|'</v>
      </c>
      <c r="R1508" s="23">
        <f>FLOOR(VLOOKUP($D1508,Sheet1!$M$5:$O$192,3,TRUE),1)</f>
        <v>96</v>
      </c>
      <c r="S1508" s="42" t="str">
        <f>VLOOKUP($D1508,Sheet1!$M$5:$O$192,2,TRUE)</f>
        <v>)//|'</v>
      </c>
      <c r="T1508" s="117">
        <f>IF(ABS(D1508-VLOOKUP($D1508,Sheet1!$M$5:$T$192,8,TRUE))&lt;10^-10,"SoCA",D1508-VLOOKUP($D1508,Sheet1!$M$5:$T$192,8,TRUE))</f>
        <v>-7.4788751230080663E-2</v>
      </c>
      <c r="U1508" s="109">
        <f>IF(VLOOKUP($D1508,Sheet1!$M$5:$U$192,9,TRUE)=0,"",IF(ABS(D1508-VLOOKUP($D1508,Sheet1!$M$5:$U$192,9,TRUE))&lt;10^-10,"Alt.",D1508-VLOOKUP($D1508,Sheet1!$M$5:$U$192,9,TRUE)))</f>
        <v>-4.7828456027644961E-2</v>
      </c>
      <c r="V1508" s="132">
        <f>$D1508-Sheet1!$M$3*$R1508</f>
        <v>-9.8302312050073226E-2</v>
      </c>
      <c r="Z1508" s="6"/>
      <c r="AA1508" s="61"/>
    </row>
    <row r="1509" spans="1:27" ht="13.5">
      <c r="A1509" t="s">
        <v>1640</v>
      </c>
      <c r="B1509">
        <v>19136512</v>
      </c>
      <c r="C1509">
        <v>19663317</v>
      </c>
      <c r="D1509" s="13">
        <f t="shared" si="30"/>
        <v>47.014578483368126</v>
      </c>
      <c r="E1509" s="61" t="s">
        <v>1931</v>
      </c>
      <c r="F1509" s="65">
        <v>170.56115935046103</v>
      </c>
      <c r="G1509" s="6">
        <v>1548</v>
      </c>
      <c r="H1509" s="6">
        <v>1489</v>
      </c>
      <c r="I1509" s="65">
        <v>9.1051411193441911</v>
      </c>
      <c r="J1509" s="6">
        <f>VLOOKUP($D1509,Sheet1!$A$5:$C$192,3,TRUE)</f>
        <v>9</v>
      </c>
      <c r="K1509" s="42" t="str">
        <f>VLOOKUP($D1509,Sheet1!$A$5:$C$192,2,TRUE)</f>
        <v>/|)</v>
      </c>
      <c r="L1509" s="6">
        <f>FLOOR(VLOOKUP($D1509,Sheet1!$D$5:$F$192,3,TRUE),1)</f>
        <v>19</v>
      </c>
      <c r="M1509" s="42" t="str">
        <f>VLOOKUP($D1509,Sheet1!$D$5:$F$192,2,TRUE)</f>
        <v>)//|</v>
      </c>
      <c r="N1509" s="23">
        <f>FLOOR(VLOOKUP($D1509,Sheet1!$G$5:$I$192,3,TRUE),1)</f>
        <v>24</v>
      </c>
      <c r="O1509" s="42" t="str">
        <f>VLOOKUP($D1509,Sheet1!$G$5:$I$192,2,TRUE)</f>
        <v>)//|</v>
      </c>
      <c r="P1509" s="23">
        <v>1</v>
      </c>
      <c r="Q1509" s="43" t="str">
        <f>VLOOKUP($D1509,Sheet1!$J$5:$L$192,2,TRUE)</f>
        <v>)//|'</v>
      </c>
      <c r="R1509" s="23">
        <f>FLOOR(VLOOKUP($D1509,Sheet1!$M$5:$O$192,3,TRUE),1)</f>
        <v>96</v>
      </c>
      <c r="S1509" s="42" t="str">
        <f>VLOOKUP($D1509,Sheet1!$M$5:$O$192,2,TRUE)</f>
        <v>)//|'</v>
      </c>
      <c r="T1509" s="117">
        <f>IF(ABS(D1509-VLOOKUP($D1509,Sheet1!$M$5:$T$192,8,TRUE))&lt;10^-10,"SoCA",D1509-VLOOKUP($D1509,Sheet1!$M$5:$T$192,8,TRUE))</f>
        <v>0.19791787448706799</v>
      </c>
      <c r="U1509" s="109">
        <f>IF(VLOOKUP($D1509,Sheet1!$M$5:$U$192,9,TRUE)=0,"",IF(ABS(D1509-VLOOKUP($D1509,Sheet1!$M$5:$U$192,9,TRUE))&lt;10^-10,"Alt.",D1509-VLOOKUP($D1509,Sheet1!$M$5:$U$192,9,TRUE)))</f>
        <v>0.22487816968950369</v>
      </c>
      <c r="V1509" s="132">
        <f>$D1509-Sheet1!$M$3*$R1509</f>
        <v>0.17440431366707543</v>
      </c>
      <c r="Z1509" s="6"/>
      <c r="AA1509" s="61"/>
    </row>
    <row r="1510" spans="1:27" ht="13.5">
      <c r="A1510" t="s">
        <v>1530</v>
      </c>
      <c r="B1510">
        <v>83623936</v>
      </c>
      <c r="C1510">
        <v>85916295</v>
      </c>
      <c r="D1510" s="13">
        <f t="shared" si="30"/>
        <v>46.818997490806268</v>
      </c>
      <c r="E1510" s="61" t="s">
        <v>1931</v>
      </c>
      <c r="F1510" s="65">
        <v>173.92505316145167</v>
      </c>
      <c r="G1510" s="6">
        <v>1436</v>
      </c>
      <c r="H1510" s="6">
        <v>1379</v>
      </c>
      <c r="I1510" s="65">
        <v>8.1171837535965743</v>
      </c>
      <c r="J1510" s="6">
        <f>VLOOKUP($D1510,Sheet1!$A$5:$C$192,3,TRUE)</f>
        <v>9</v>
      </c>
      <c r="K1510" s="42" t="str">
        <f>VLOOKUP($D1510,Sheet1!$A$5:$C$192,2,TRUE)</f>
        <v>/|)</v>
      </c>
      <c r="L1510" s="6">
        <f>FLOOR(VLOOKUP($D1510,Sheet1!$D$5:$F$192,3,TRUE),1)</f>
        <v>19</v>
      </c>
      <c r="M1510" s="42" t="str">
        <f>VLOOKUP($D1510,Sheet1!$D$5:$F$192,2,TRUE)</f>
        <v>)//|</v>
      </c>
      <c r="N1510" s="23">
        <f>FLOOR(VLOOKUP($D1510,Sheet1!$G$5:$I$192,3,TRUE),1)</f>
        <v>24</v>
      </c>
      <c r="O1510" s="42" t="str">
        <f>VLOOKUP($D1510,Sheet1!$G$5:$I$192,2,TRUE)</f>
        <v>)//|</v>
      </c>
      <c r="P1510" s="23">
        <v>1</v>
      </c>
      <c r="Q1510" s="43" t="str">
        <f>VLOOKUP($D1510,Sheet1!$J$5:$L$192,2,TRUE)</f>
        <v>)//|'</v>
      </c>
      <c r="R1510" s="23">
        <f>FLOOR(VLOOKUP($D1510,Sheet1!$M$5:$O$192,3,TRUE),1)</f>
        <v>96</v>
      </c>
      <c r="S1510" s="42" t="str">
        <f>VLOOKUP($D1510,Sheet1!$M$5:$O$192,2,TRUE)</f>
        <v>)//|'</v>
      </c>
      <c r="T1510" s="117">
        <f>IF(ABS(D1510-VLOOKUP($D1510,Sheet1!$M$5:$T$192,8,TRUE))&lt;10^-10,"SoCA",D1510-VLOOKUP($D1510,Sheet1!$M$5:$T$192,8,TRUE))</f>
        <v>2.336881925209866E-3</v>
      </c>
      <c r="U1510" s="109">
        <f>IF(VLOOKUP($D1510,Sheet1!$M$5:$U$192,9,TRUE)=0,"",IF(ABS(D1510-VLOOKUP($D1510,Sheet1!$M$5:$U$192,9,TRUE))&lt;10^-10,"Alt.",D1510-VLOOKUP($D1510,Sheet1!$M$5:$U$192,9,TRUE)))</f>
        <v>2.9297177127645568E-2</v>
      </c>
      <c r="V1510" s="132">
        <f>$D1510-Sheet1!$M$3*$R1510</f>
        <v>-2.1176678894782697E-2</v>
      </c>
      <c r="Z1510" s="6"/>
      <c r="AA1510" s="61"/>
    </row>
    <row r="1511" spans="1:27" ht="13.5">
      <c r="A1511" s="144" t="s">
        <v>265</v>
      </c>
      <c r="B1511" s="144">
        <f>2^15*5</f>
        <v>163840</v>
      </c>
      <c r="C1511" s="144">
        <f>3^7*7*11</f>
        <v>168399</v>
      </c>
      <c r="D1511" s="13">
        <f t="shared" si="30"/>
        <v>47.515141026758897</v>
      </c>
      <c r="E1511" s="61">
        <v>11</v>
      </c>
      <c r="F1511" s="65">
        <v>28.887820276124533</v>
      </c>
      <c r="G1511" s="6">
        <v>67.099999999999994</v>
      </c>
      <c r="H1511" s="6">
        <v>63.1</v>
      </c>
      <c r="I1511" s="65">
        <v>4.0743196598989879</v>
      </c>
      <c r="J1511" s="6">
        <f>VLOOKUP($D1511,Sheet1!$A$5:$C$192,3,TRUE)</f>
        <v>9</v>
      </c>
      <c r="K1511" s="42" t="str">
        <f>VLOOKUP($D1511,Sheet1!$A$5:$C$192,2,TRUE)</f>
        <v>/|)</v>
      </c>
      <c r="L1511" s="6">
        <f>FLOOR(VLOOKUP($D1511,Sheet1!$D$5:$F$192,3,TRUE),1)</f>
        <v>19</v>
      </c>
      <c r="M1511" s="42" t="str">
        <f>VLOOKUP($D1511,Sheet1!$D$5:$F$192,2,TRUE)</f>
        <v>)//|</v>
      </c>
      <c r="N1511" s="23">
        <f>FLOOR(VLOOKUP($D1511,Sheet1!$G$5:$I$192,3,TRUE),1)</f>
        <v>24</v>
      </c>
      <c r="O1511" s="42" t="str">
        <f>VLOOKUP($D1511,Sheet1!$G$5:$I$192,2,TRUE)</f>
        <v>)//|</v>
      </c>
      <c r="P1511" s="23">
        <v>1</v>
      </c>
      <c r="Q1511" s="145" t="str">
        <f>VLOOKUP($D1511,Sheet1!$J$5:$L$192,2,TRUE)</f>
        <v>)//|''</v>
      </c>
      <c r="R1511" s="146">
        <f>FLOOR(VLOOKUP($D1511,Sheet1!$M$5:$O$192,3,TRUE),1)</f>
        <v>97</v>
      </c>
      <c r="S1511" s="145" t="str">
        <f>VLOOKUP($D1511,Sheet1!$M$5:$O$192,2,TRUE)</f>
        <v>)//|''</v>
      </c>
      <c r="T1511" s="147">
        <f>IF(ABS(D1511-VLOOKUP($D1511,Sheet1!$M$5:$T$192,8,TRUE))&lt;10^-10,"SoCA",D1511-VLOOKUP($D1511,Sheet1!$M$5:$T$192,8,TRUE))</f>
        <v>0.28867237973106796</v>
      </c>
      <c r="U1511" s="147">
        <f>IF(VLOOKUP($D1511,Sheet1!$M$5:$U$192,9,TRUE)=0,"",IF(ABS(D1511-VLOOKUP($D1511,Sheet1!$M$5:$U$192,9,TRUE))&lt;10^-10,"Alt.",D1511-VLOOKUP($D1511,Sheet1!$M$5:$U$192,9,TRUE)))</f>
        <v>0.30272454712552133</v>
      </c>
      <c r="V1511" s="134">
        <f>$D1511-Sheet1!$M$3*$R1511</f>
        <v>0.18704837612346381</v>
      </c>
      <c r="Z1511" s="6"/>
      <c r="AA1511" s="61"/>
    </row>
    <row r="1512" spans="1:27" ht="13.5">
      <c r="A1512" s="23" t="s">
        <v>702</v>
      </c>
      <c r="B1512" s="23">
        <f>2^4*7*19</f>
        <v>2128</v>
      </c>
      <c r="C1512" s="23">
        <f>3^7</f>
        <v>2187</v>
      </c>
      <c r="D1512" s="13">
        <f t="shared" si="30"/>
        <v>47.346083456284404</v>
      </c>
      <c r="E1512" s="61">
        <v>19</v>
      </c>
      <c r="F1512" s="65">
        <v>37.73428402691048</v>
      </c>
      <c r="G1512" s="6">
        <v>588.1</v>
      </c>
      <c r="H1512" s="6">
        <v>547.1</v>
      </c>
      <c r="I1512" s="65">
        <v>4.0847291504233647</v>
      </c>
      <c r="J1512" s="6">
        <f>VLOOKUP($D1512,Sheet1!$A$5:$C$192,3,TRUE)</f>
        <v>9</v>
      </c>
      <c r="K1512" s="42" t="str">
        <f>VLOOKUP($D1512,Sheet1!$A$5:$C$192,2,TRUE)</f>
        <v>/|)</v>
      </c>
      <c r="L1512" s="6">
        <f>FLOOR(VLOOKUP($D1512,Sheet1!$D$5:$F$192,3,TRUE),1)</f>
        <v>19</v>
      </c>
      <c r="M1512" s="42" t="str">
        <f>VLOOKUP($D1512,Sheet1!$D$5:$F$192,2,TRUE)</f>
        <v>)//|</v>
      </c>
      <c r="N1512" s="23">
        <f>FLOOR(VLOOKUP($D1512,Sheet1!$G$5:$I$192,3,TRUE),1)</f>
        <v>24</v>
      </c>
      <c r="O1512" s="42" t="str">
        <f>VLOOKUP($D1512,Sheet1!$G$5:$I$192,2,TRUE)</f>
        <v>)//|</v>
      </c>
      <c r="P1512" s="23">
        <v>1</v>
      </c>
      <c r="Q1512" s="43" t="str">
        <f>VLOOKUP($D1512,Sheet1!$J$5:$L$192,2,TRUE)</f>
        <v>)//|''</v>
      </c>
      <c r="R1512" s="23">
        <f>FLOOR(VLOOKUP($D1512,Sheet1!$M$5:$O$192,3,TRUE),1)</f>
        <v>97</v>
      </c>
      <c r="S1512" s="43" t="str">
        <f>VLOOKUP($D1512,Sheet1!$M$5:$O$192,2,TRUE)</f>
        <v>)//|''</v>
      </c>
      <c r="T1512" s="117">
        <f>IF(ABS(D1512-VLOOKUP($D1512,Sheet1!$M$5:$T$192,8,TRUE))&lt;10^-10,"SoCA",D1512-VLOOKUP($D1512,Sheet1!$M$5:$T$192,8,TRUE))</f>
        <v>0.11961480925657497</v>
      </c>
      <c r="U1512" s="117">
        <f>IF(VLOOKUP($D1512,Sheet1!$M$5:$U$192,9,TRUE)=0,"",IF(ABS(D1512-VLOOKUP($D1512,Sheet1!$M$5:$U$192,9,TRUE))&lt;10^-10,"Alt.",D1512-VLOOKUP($D1512,Sheet1!$M$5:$U$192,9,TRUE)))</f>
        <v>0.13366697665102834</v>
      </c>
      <c r="V1512" s="132">
        <f>$D1512-Sheet1!$M$3*$R1512</f>
        <v>1.799080564897082E-2</v>
      </c>
      <c r="Z1512" s="6"/>
      <c r="AA1512" s="61"/>
    </row>
    <row r="1513" spans="1:27" ht="13.5">
      <c r="A1513" s="23" t="s">
        <v>815</v>
      </c>
      <c r="B1513" s="23">
        <f>2^6*13</f>
        <v>832</v>
      </c>
      <c r="C1513" s="23">
        <f>3^2*5*19</f>
        <v>855</v>
      </c>
      <c r="D1513" s="13">
        <f t="shared" si="30"/>
        <v>47.209069958601766</v>
      </c>
      <c r="E1513" s="61">
        <v>19</v>
      </c>
      <c r="F1513" s="65">
        <v>44.459449884544064</v>
      </c>
      <c r="G1513" s="6">
        <v>748</v>
      </c>
      <c r="H1513" s="6">
        <v>662</v>
      </c>
      <c r="I1513" s="65">
        <v>-0.90683442935696634</v>
      </c>
      <c r="J1513" s="6">
        <f>VLOOKUP($D1513,Sheet1!$A$5:$C$192,3,TRUE)</f>
        <v>9</v>
      </c>
      <c r="K1513" s="42" t="str">
        <f>VLOOKUP($D1513,Sheet1!$A$5:$C$192,2,TRUE)</f>
        <v>/|)</v>
      </c>
      <c r="L1513" s="6">
        <f>FLOOR(VLOOKUP($D1513,Sheet1!$D$5:$F$192,3,TRUE),1)</f>
        <v>19</v>
      </c>
      <c r="M1513" s="42" t="str">
        <f>VLOOKUP($D1513,Sheet1!$D$5:$F$192,2,TRUE)</f>
        <v>)//|</v>
      </c>
      <c r="N1513" s="23">
        <f>FLOOR(VLOOKUP($D1513,Sheet1!$G$5:$I$192,3,TRUE),1)</f>
        <v>24</v>
      </c>
      <c r="O1513" s="42" t="str">
        <f>VLOOKUP($D1513,Sheet1!$G$5:$I$192,2,TRUE)</f>
        <v>)//|</v>
      </c>
      <c r="P1513" s="23">
        <v>1</v>
      </c>
      <c r="Q1513" s="43" t="str">
        <f>VLOOKUP($D1513,Sheet1!$J$5:$L$192,2,TRUE)</f>
        <v>)//|''</v>
      </c>
      <c r="R1513" s="23">
        <f>FLOOR(VLOOKUP($D1513,Sheet1!$M$5:$O$192,3,TRUE),1)</f>
        <v>97</v>
      </c>
      <c r="S1513" s="43" t="str">
        <f>VLOOKUP($D1513,Sheet1!$M$5:$O$192,2,TRUE)</f>
        <v>)//|''</v>
      </c>
      <c r="T1513" s="117">
        <f>IF(ABS(D1513-VLOOKUP($D1513,Sheet1!$M$5:$T$192,8,TRUE))&lt;10^-10,"SoCA",D1513-VLOOKUP($D1513,Sheet1!$M$5:$T$192,8,TRUE))</f>
        <v>-1.7398688426062847E-2</v>
      </c>
      <c r="U1513" s="117">
        <f>IF(VLOOKUP($D1513,Sheet1!$M$5:$U$192,9,TRUE)=0,"",IF(ABS(D1513-VLOOKUP($D1513,Sheet1!$M$5:$U$192,9,TRUE))&lt;10^-10,"Alt.",D1513-VLOOKUP($D1513,Sheet1!$M$5:$U$192,9,TRUE)))</f>
        <v>-3.346521031609484E-3</v>
      </c>
      <c r="V1513" s="132">
        <f>$D1513-Sheet1!$M$3*$R1513</f>
        <v>-0.119022692033667</v>
      </c>
      <c r="Z1513" s="6"/>
      <c r="AA1513" s="61"/>
    </row>
    <row r="1514" spans="1:27" ht="13.5">
      <c r="A1514" s="87" t="s">
        <v>187</v>
      </c>
      <c r="B1514" s="87">
        <f>2^2*3^2</f>
        <v>36</v>
      </c>
      <c r="C1514" s="87">
        <v>37</v>
      </c>
      <c r="D1514" s="13">
        <f t="shared" si="30"/>
        <v>47.434037023964734</v>
      </c>
      <c r="E1514" s="61">
        <v>37</v>
      </c>
      <c r="F1514" s="65">
        <v>44.746971577991999</v>
      </c>
      <c r="G1514" s="6">
        <v>82</v>
      </c>
      <c r="H1514" s="6">
        <v>80</v>
      </c>
      <c r="I1514" s="65">
        <v>-4.9206864711710061</v>
      </c>
      <c r="J1514" s="6">
        <f>VLOOKUP($D1514,Sheet1!$A$5:$C$192,3,TRUE)</f>
        <v>9</v>
      </c>
      <c r="K1514" s="42" t="str">
        <f>VLOOKUP($D1514,Sheet1!$A$5:$C$192,2,TRUE)</f>
        <v>/|)</v>
      </c>
      <c r="L1514" s="6">
        <f>FLOOR(VLOOKUP($D1514,Sheet1!$D$5:$F$192,3,TRUE),1)</f>
        <v>19</v>
      </c>
      <c r="M1514" s="42" t="str">
        <f>VLOOKUP($D1514,Sheet1!$D$5:$F$192,2,TRUE)</f>
        <v>)//|</v>
      </c>
      <c r="N1514" s="23">
        <f>FLOOR(VLOOKUP($D1514,Sheet1!$G$5:$I$192,3,TRUE),1)</f>
        <v>24</v>
      </c>
      <c r="O1514" s="42" t="str">
        <f>VLOOKUP($D1514,Sheet1!$G$5:$I$192,2,TRUE)</f>
        <v>)//|</v>
      </c>
      <c r="P1514" s="23">
        <v>1</v>
      </c>
      <c r="Q1514" s="45" t="str">
        <f>VLOOKUP($D1514,Sheet1!$J$5:$L$192,2,TRUE)</f>
        <v>)//|''</v>
      </c>
      <c r="R1514" s="38">
        <f>FLOOR(VLOOKUP($D1514,Sheet1!$M$5:$O$192,3,TRUE),1)</f>
        <v>97</v>
      </c>
      <c r="S1514" s="45" t="str">
        <f>VLOOKUP($D1514,Sheet1!$M$5:$O$192,2,TRUE)</f>
        <v>)//|''</v>
      </c>
      <c r="T1514" s="108">
        <f>IF(ABS(D1514-VLOOKUP($D1514,Sheet1!$M$5:$T$192,8,TRUE))&lt;10^-10,"SoCA",D1514-VLOOKUP($D1514,Sheet1!$M$5:$T$192,8,TRUE))</f>
        <v>0.207568376936905</v>
      </c>
      <c r="U1514" s="108">
        <f>IF(VLOOKUP($D1514,Sheet1!$M$5:$U$192,9,TRUE)=0,"",IF(ABS(D1514-VLOOKUP($D1514,Sheet1!$M$5:$U$192,9,TRUE))&lt;10^-10,"Alt.",D1514-VLOOKUP($D1514,Sheet1!$M$5:$U$192,9,TRUE)))</f>
        <v>0.22162054433135836</v>
      </c>
      <c r="V1514" s="133">
        <f>$D1514-Sheet1!$M$3*$R1514</f>
        <v>0.10594437332930084</v>
      </c>
      <c r="Z1514" s="6"/>
      <c r="AA1514" s="61"/>
    </row>
    <row r="1515" spans="1:27" ht="13.5">
      <c r="A1515" s="6" t="s">
        <v>648</v>
      </c>
      <c r="B1515" s="6">
        <f>3^5*41</f>
        <v>9963</v>
      </c>
      <c r="C1515" s="6">
        <f>2^11*5</f>
        <v>10240</v>
      </c>
      <c r="D1515" s="13">
        <f t="shared" si="30"/>
        <v>47.476303996197146</v>
      </c>
      <c r="E1515" s="61">
        <v>41</v>
      </c>
      <c r="F1515" s="65">
        <v>48.937772933532457</v>
      </c>
      <c r="G1515" s="6">
        <v>430</v>
      </c>
      <c r="H1515" s="6">
        <v>493</v>
      </c>
      <c r="I1515" s="65">
        <v>-7.9232890026383194</v>
      </c>
      <c r="J1515" s="6">
        <f>VLOOKUP($D1515,Sheet1!$A$5:$C$192,3,TRUE)</f>
        <v>9</v>
      </c>
      <c r="K1515" s="42" t="str">
        <f>VLOOKUP($D1515,Sheet1!$A$5:$C$192,2,TRUE)</f>
        <v>/|)</v>
      </c>
      <c r="L1515" s="6">
        <f>FLOOR(VLOOKUP($D1515,Sheet1!$D$5:$F$192,3,TRUE),1)</f>
        <v>19</v>
      </c>
      <c r="M1515" s="42" t="str">
        <f>VLOOKUP($D1515,Sheet1!$D$5:$F$192,2,TRUE)</f>
        <v>)//|</v>
      </c>
      <c r="N1515" s="23">
        <f>FLOOR(VLOOKUP($D1515,Sheet1!$G$5:$I$192,3,TRUE),1)</f>
        <v>24</v>
      </c>
      <c r="O1515" s="42" t="str">
        <f>VLOOKUP($D1515,Sheet1!$G$5:$I$192,2,TRUE)</f>
        <v>)//|</v>
      </c>
      <c r="P1515" s="23">
        <v>1</v>
      </c>
      <c r="Q1515" s="43" t="str">
        <f>VLOOKUP($D1515,Sheet1!$J$5:$L$192,2,TRUE)</f>
        <v>)//|''</v>
      </c>
      <c r="R1515" s="23">
        <f>FLOOR(VLOOKUP($D1515,Sheet1!$M$5:$O$192,3,TRUE),1)</f>
        <v>97</v>
      </c>
      <c r="S1515" s="42" t="str">
        <f>VLOOKUP($D1515,Sheet1!$M$5:$O$192,2,TRUE)</f>
        <v>)//|''</v>
      </c>
      <c r="T1515" s="117">
        <f>IF(ABS(D1515-VLOOKUP($D1515,Sheet1!$M$5:$T$192,8,TRUE))&lt;10^-10,"SoCA",D1515-VLOOKUP($D1515,Sheet1!$M$5:$T$192,8,TRUE))</f>
        <v>0.2498353491693166</v>
      </c>
      <c r="U1515" s="109">
        <f>IF(VLOOKUP($D1515,Sheet1!$M$5:$U$192,9,TRUE)=0,"",IF(ABS(D1515-VLOOKUP($D1515,Sheet1!$M$5:$U$192,9,TRUE))&lt;10^-10,"Alt.",D1515-VLOOKUP($D1515,Sheet1!$M$5:$U$192,9,TRUE)))</f>
        <v>0.26388751656376996</v>
      </c>
      <c r="V1515" s="132">
        <f>$D1515-Sheet1!$M$3*$R1515</f>
        <v>0.14821134556171245</v>
      </c>
      <c r="Z1515" s="6"/>
      <c r="AA1515" s="61"/>
    </row>
    <row r="1516" spans="1:27" ht="13.5">
      <c r="A1516" s="6" t="s">
        <v>1582</v>
      </c>
      <c r="B1516" s="6">
        <f>3^7*5^4</f>
        <v>1366875</v>
      </c>
      <c r="C1516" s="6">
        <f>2^12*7^3</f>
        <v>1404928</v>
      </c>
      <c r="D1516" s="13">
        <f t="shared" si="30"/>
        <v>47.53785789032365</v>
      </c>
      <c r="E1516" s="61">
        <v>7</v>
      </c>
      <c r="F1516" s="65">
        <v>60.643717676682193</v>
      </c>
      <c r="G1516" s="6">
        <v>1243</v>
      </c>
      <c r="H1516" s="6">
        <v>1431</v>
      </c>
      <c r="I1516" s="65">
        <v>-9.9270791001527332</v>
      </c>
      <c r="J1516" s="6">
        <f>VLOOKUP($D1516,Sheet1!$A$5:$C$192,3,TRUE)</f>
        <v>9</v>
      </c>
      <c r="K1516" s="42" t="str">
        <f>VLOOKUP($D1516,Sheet1!$A$5:$C$192,2,TRUE)</f>
        <v>/|)</v>
      </c>
      <c r="L1516" s="6">
        <f>FLOOR(VLOOKUP($D1516,Sheet1!$D$5:$F$192,3,TRUE),1)</f>
        <v>19</v>
      </c>
      <c r="M1516" s="42" t="str">
        <f>VLOOKUP($D1516,Sheet1!$D$5:$F$192,2,TRUE)</f>
        <v>)//|</v>
      </c>
      <c r="N1516" s="23">
        <f>FLOOR(VLOOKUP($D1516,Sheet1!$G$5:$I$192,3,TRUE),1)</f>
        <v>24</v>
      </c>
      <c r="O1516" s="42" t="str">
        <f>VLOOKUP($D1516,Sheet1!$G$5:$I$192,2,TRUE)</f>
        <v>)//|</v>
      </c>
      <c r="P1516" s="23">
        <v>1</v>
      </c>
      <c r="Q1516" s="43" t="str">
        <f>VLOOKUP($D1516,Sheet1!$J$5:$L$192,2,TRUE)</f>
        <v>)//|''</v>
      </c>
      <c r="R1516" s="23">
        <f>FLOOR(VLOOKUP($D1516,Sheet1!$M$5:$O$192,3,TRUE),1)</f>
        <v>97</v>
      </c>
      <c r="S1516" s="42" t="str">
        <f>VLOOKUP($D1516,Sheet1!$M$5:$O$192,2,TRUE)</f>
        <v>)//|''</v>
      </c>
      <c r="T1516" s="117">
        <f>IF(ABS(D1516-VLOOKUP($D1516,Sheet1!$M$5:$T$192,8,TRUE))&lt;10^-10,"SoCA",D1516-VLOOKUP($D1516,Sheet1!$M$5:$T$192,8,TRUE))</f>
        <v>0.31138924329582096</v>
      </c>
      <c r="U1516" s="109">
        <f>IF(VLOOKUP($D1516,Sheet1!$M$5:$U$192,9,TRUE)=0,"",IF(ABS(D1516-VLOOKUP($D1516,Sheet1!$M$5:$U$192,9,TRUE))&lt;10^-10,"Alt.",D1516-VLOOKUP($D1516,Sheet1!$M$5:$U$192,9,TRUE)))</f>
        <v>0.32544141069027432</v>
      </c>
      <c r="V1516" s="132">
        <f>$D1516-Sheet1!$M$3*$R1516</f>
        <v>0.20976523968821681</v>
      </c>
      <c r="Z1516" s="6"/>
      <c r="AA1516" s="61"/>
    </row>
    <row r="1517" spans="1:27" ht="13.5">
      <c r="A1517" t="s">
        <v>498</v>
      </c>
      <c r="B1517">
        <v>108544</v>
      </c>
      <c r="C1517">
        <v>111537</v>
      </c>
      <c r="D1517" s="13">
        <f t="shared" si="30"/>
        <v>47.090870947667469</v>
      </c>
      <c r="E1517" s="61" t="s">
        <v>1931</v>
      </c>
      <c r="F1517" s="65">
        <v>73.429322536080591</v>
      </c>
      <c r="G1517" s="6">
        <v>353</v>
      </c>
      <c r="H1517" s="6">
        <v>339</v>
      </c>
      <c r="I1517" s="65">
        <v>5.100443514368699</v>
      </c>
      <c r="J1517" s="6">
        <f>VLOOKUP($D1517,Sheet1!$A$5:$C$192,3,TRUE)</f>
        <v>9</v>
      </c>
      <c r="K1517" s="42" t="str">
        <f>VLOOKUP($D1517,Sheet1!$A$5:$C$192,2,TRUE)</f>
        <v>/|)</v>
      </c>
      <c r="L1517" s="6">
        <f>FLOOR(VLOOKUP($D1517,Sheet1!$D$5:$F$192,3,TRUE),1)</f>
        <v>19</v>
      </c>
      <c r="M1517" s="42" t="str">
        <f>VLOOKUP($D1517,Sheet1!$D$5:$F$192,2,TRUE)</f>
        <v>)//|</v>
      </c>
      <c r="N1517" s="23">
        <f>FLOOR(VLOOKUP($D1517,Sheet1!$G$5:$I$192,3,TRUE),1)</f>
        <v>24</v>
      </c>
      <c r="O1517" s="42" t="str">
        <f>VLOOKUP($D1517,Sheet1!$G$5:$I$192,2,TRUE)</f>
        <v>)//|</v>
      </c>
      <c r="P1517" s="23">
        <v>1</v>
      </c>
      <c r="Q1517" s="43" t="str">
        <f>VLOOKUP($D1517,Sheet1!$J$5:$L$192,2,TRUE)</f>
        <v>)//|''</v>
      </c>
      <c r="R1517" s="23">
        <f>FLOOR(VLOOKUP($D1517,Sheet1!$M$5:$O$192,3,TRUE),1)</f>
        <v>97</v>
      </c>
      <c r="S1517" s="42" t="str">
        <f>VLOOKUP($D1517,Sheet1!$M$5:$O$192,2,TRUE)</f>
        <v>)//|''</v>
      </c>
      <c r="T1517" s="117">
        <f>IF(ABS(D1517-VLOOKUP($D1517,Sheet1!$M$5:$T$192,8,TRUE))&lt;10^-10,"SoCA",D1517-VLOOKUP($D1517,Sheet1!$M$5:$T$192,8,TRUE))</f>
        <v>-0.13559769936036048</v>
      </c>
      <c r="U1517" s="109">
        <f>IF(VLOOKUP($D1517,Sheet1!$M$5:$U$192,9,TRUE)=0,"",IF(ABS(D1517-VLOOKUP($D1517,Sheet1!$M$5:$U$192,9,TRUE))&lt;10^-10,"Alt.",D1517-VLOOKUP($D1517,Sheet1!$M$5:$U$192,9,TRUE)))</f>
        <v>-0.12154553196590712</v>
      </c>
      <c r="V1517" s="132">
        <f>$D1517-Sheet1!$M$3*$R1517</f>
        <v>-0.23722170296796463</v>
      </c>
      <c r="Z1517" s="6"/>
      <c r="AA1517" s="61"/>
    </row>
    <row r="1518" spans="1:27" ht="13.5">
      <c r="A1518" s="6" t="s">
        <v>1876</v>
      </c>
      <c r="B1518">
        <v>964467</v>
      </c>
      <c r="C1518">
        <v>991232</v>
      </c>
      <c r="D1518" s="13">
        <f t="shared" si="30"/>
        <v>47.389064002776877</v>
      </c>
      <c r="E1518" s="61">
        <v>11</v>
      </c>
      <c r="F1518" s="65">
        <v>80.022772081182623</v>
      </c>
      <c r="G1518" s="59">
        <v>1712</v>
      </c>
      <c r="H1518" s="63">
        <v>1000081</v>
      </c>
      <c r="I1518" s="65">
        <v>-11.917917318410833</v>
      </c>
      <c r="J1518" s="6">
        <f>VLOOKUP($D1518,Sheet1!$A$5:$C$192,3,TRUE)</f>
        <v>9</v>
      </c>
      <c r="K1518" s="42" t="str">
        <f>VLOOKUP($D1518,Sheet1!$A$5:$C$192,2,TRUE)</f>
        <v>/|)</v>
      </c>
      <c r="L1518" s="6">
        <f>FLOOR(VLOOKUP($D1518,Sheet1!$D$5:$F$192,3,TRUE),1)</f>
        <v>19</v>
      </c>
      <c r="M1518" s="42" t="str">
        <f>VLOOKUP($D1518,Sheet1!$D$5:$F$192,2,TRUE)</f>
        <v>)//|</v>
      </c>
      <c r="N1518" s="23">
        <f>FLOOR(VLOOKUP($D1518,Sheet1!$G$5:$I$192,3,TRUE),1)</f>
        <v>24</v>
      </c>
      <c r="O1518" s="42" t="str">
        <f>VLOOKUP($D1518,Sheet1!$G$5:$I$192,2,TRUE)</f>
        <v>)//|</v>
      </c>
      <c r="P1518" s="23">
        <v>1</v>
      </c>
      <c r="Q1518" s="43" t="str">
        <f>VLOOKUP($D1518,Sheet1!$J$5:$L$192,2,TRUE)</f>
        <v>)//|''</v>
      </c>
      <c r="R1518" s="23">
        <f>FLOOR(VLOOKUP($D1518,Sheet1!$M$5:$O$192,3,TRUE),1)</f>
        <v>97</v>
      </c>
      <c r="S1518" s="42" t="str">
        <f>VLOOKUP($D1518,Sheet1!$M$5:$O$192,2,TRUE)</f>
        <v>)//|''</v>
      </c>
      <c r="T1518" s="117">
        <f>IF(ABS(D1518-VLOOKUP($D1518,Sheet1!$M$5:$T$192,8,TRUE))&lt;10^-10,"SoCA",D1518-VLOOKUP($D1518,Sheet1!$M$5:$T$192,8,TRUE))</f>
        <v>0.1625953557490476</v>
      </c>
      <c r="U1518" s="109">
        <f>IF(VLOOKUP($D1518,Sheet1!$M$5:$U$192,9,TRUE)=0,"",IF(ABS(D1518-VLOOKUP($D1518,Sheet1!$M$5:$U$192,9,TRUE))&lt;10^-10,"Alt.",D1518-VLOOKUP($D1518,Sheet1!$M$5:$U$192,9,TRUE)))</f>
        <v>0.17664752314350096</v>
      </c>
      <c r="V1518" s="132">
        <f>$D1518-Sheet1!$M$3*$R1518</f>
        <v>6.0971352141443447E-2</v>
      </c>
      <c r="Z1518" s="6"/>
      <c r="AA1518" s="61"/>
    </row>
    <row r="1519" spans="1:27" ht="13.5">
      <c r="A1519" t="s">
        <v>689</v>
      </c>
      <c r="B1519">
        <v>4194304</v>
      </c>
      <c r="C1519">
        <v>4310577</v>
      </c>
      <c r="D1519" s="13">
        <f t="shared" si="30"/>
        <v>47.339479309894855</v>
      </c>
      <c r="E1519" s="61" t="s">
        <v>1931</v>
      </c>
      <c r="F1519" s="65">
        <v>101.43095302046213</v>
      </c>
      <c r="G1519" s="6">
        <v>527</v>
      </c>
      <c r="H1519" s="6">
        <v>534</v>
      </c>
      <c r="I1519" s="65">
        <v>7.0851357917767839</v>
      </c>
      <c r="J1519" s="6">
        <f>VLOOKUP($D1519,Sheet1!$A$5:$C$192,3,TRUE)</f>
        <v>9</v>
      </c>
      <c r="K1519" s="42" t="str">
        <f>VLOOKUP($D1519,Sheet1!$A$5:$C$192,2,TRUE)</f>
        <v>/|)</v>
      </c>
      <c r="L1519" s="6">
        <f>FLOOR(VLOOKUP($D1519,Sheet1!$D$5:$F$192,3,TRUE),1)</f>
        <v>19</v>
      </c>
      <c r="M1519" s="42" t="str">
        <f>VLOOKUP($D1519,Sheet1!$D$5:$F$192,2,TRUE)</f>
        <v>)//|</v>
      </c>
      <c r="N1519" s="23">
        <f>FLOOR(VLOOKUP($D1519,Sheet1!$G$5:$I$192,3,TRUE),1)</f>
        <v>24</v>
      </c>
      <c r="O1519" s="42" t="str">
        <f>VLOOKUP($D1519,Sheet1!$G$5:$I$192,2,TRUE)</f>
        <v>)//|</v>
      </c>
      <c r="P1519" s="23">
        <v>1</v>
      </c>
      <c r="Q1519" s="43" t="str">
        <f>VLOOKUP($D1519,Sheet1!$J$5:$L$192,2,TRUE)</f>
        <v>)//|''</v>
      </c>
      <c r="R1519" s="23">
        <f>FLOOR(VLOOKUP($D1519,Sheet1!$M$5:$O$192,3,TRUE),1)</f>
        <v>97</v>
      </c>
      <c r="S1519" s="42" t="str">
        <f>VLOOKUP($D1519,Sheet1!$M$5:$O$192,2,TRUE)</f>
        <v>)//|''</v>
      </c>
      <c r="T1519" s="117">
        <f>IF(ABS(D1519-VLOOKUP($D1519,Sheet1!$M$5:$T$192,8,TRUE))&lt;10^-10,"SoCA",D1519-VLOOKUP($D1519,Sheet1!$M$5:$T$192,8,TRUE))</f>
        <v>0.11301066286702621</v>
      </c>
      <c r="U1519" s="109">
        <f>IF(VLOOKUP($D1519,Sheet1!$M$5:$U$192,9,TRUE)=0,"",IF(ABS(D1519-VLOOKUP($D1519,Sheet1!$M$5:$U$192,9,TRUE))&lt;10^-10,"Alt.",D1519-VLOOKUP($D1519,Sheet1!$M$5:$U$192,9,TRUE)))</f>
        <v>0.12706283026147958</v>
      </c>
      <c r="V1519" s="132">
        <f>$D1519-Sheet1!$M$3*$R1519</f>
        <v>1.1386659259422061E-2</v>
      </c>
      <c r="Z1519" s="6"/>
      <c r="AA1519" s="61"/>
    </row>
    <row r="1520" spans="1:27" ht="13.5">
      <c r="A1520" t="s">
        <v>1621</v>
      </c>
      <c r="B1520">
        <v>586845</v>
      </c>
      <c r="C1520">
        <v>603136</v>
      </c>
      <c r="D1520" s="13">
        <f t="shared" si="30"/>
        <v>47.404615801853062</v>
      </c>
      <c r="E1520" s="61">
        <v>31</v>
      </c>
      <c r="F1520" s="65">
        <v>108.75987211071129</v>
      </c>
      <c r="G1520" s="6">
        <v>1526</v>
      </c>
      <c r="H1520" s="6">
        <v>1470</v>
      </c>
      <c r="I1520" s="65">
        <v>-8.9188748993382418</v>
      </c>
      <c r="J1520" s="6">
        <f>VLOOKUP($D1520,Sheet1!$A$5:$C$192,3,TRUE)</f>
        <v>9</v>
      </c>
      <c r="K1520" s="42" t="str">
        <f>VLOOKUP($D1520,Sheet1!$A$5:$C$192,2,TRUE)</f>
        <v>/|)</v>
      </c>
      <c r="L1520" s="6">
        <f>FLOOR(VLOOKUP($D1520,Sheet1!$D$5:$F$192,3,TRUE),1)</f>
        <v>19</v>
      </c>
      <c r="M1520" s="42" t="str">
        <f>VLOOKUP($D1520,Sheet1!$D$5:$F$192,2,TRUE)</f>
        <v>)//|</v>
      </c>
      <c r="N1520" s="23">
        <f>FLOOR(VLOOKUP($D1520,Sheet1!$G$5:$I$192,3,TRUE),1)</f>
        <v>24</v>
      </c>
      <c r="O1520" s="42" t="str">
        <f>VLOOKUP($D1520,Sheet1!$G$5:$I$192,2,TRUE)</f>
        <v>)//|</v>
      </c>
      <c r="P1520" s="23">
        <v>1</v>
      </c>
      <c r="Q1520" s="43" t="str">
        <f>VLOOKUP($D1520,Sheet1!$J$5:$L$192,2,TRUE)</f>
        <v>)//|''</v>
      </c>
      <c r="R1520" s="23">
        <f>FLOOR(VLOOKUP($D1520,Sheet1!$M$5:$O$192,3,TRUE),1)</f>
        <v>97</v>
      </c>
      <c r="S1520" s="42" t="str">
        <f>VLOOKUP($D1520,Sheet1!$M$5:$O$192,2,TRUE)</f>
        <v>)//|''</v>
      </c>
      <c r="T1520" s="117">
        <f>IF(ABS(D1520-VLOOKUP($D1520,Sheet1!$M$5:$T$192,8,TRUE))&lt;10^-10,"SoCA",D1520-VLOOKUP($D1520,Sheet1!$M$5:$T$192,8,TRUE))</f>
        <v>0.17814715482523269</v>
      </c>
      <c r="U1520" s="109">
        <f>IF(VLOOKUP($D1520,Sheet1!$M$5:$U$192,9,TRUE)=0,"",IF(ABS(D1520-VLOOKUP($D1520,Sheet1!$M$5:$U$192,9,TRUE))&lt;10^-10,"Alt.",D1520-VLOOKUP($D1520,Sheet1!$M$5:$U$192,9,TRUE)))</f>
        <v>0.19219932221968605</v>
      </c>
      <c r="V1520" s="132">
        <f>$D1520-Sheet1!$M$3*$R1520</f>
        <v>7.6523151217628538E-2</v>
      </c>
      <c r="Z1520" s="6"/>
      <c r="AA1520" s="61"/>
    </row>
    <row r="1521" spans="1:27" ht="13.5">
      <c r="A1521" t="s">
        <v>1526</v>
      </c>
      <c r="B1521">
        <v>2097152000</v>
      </c>
      <c r="C1521">
        <v>2155347549</v>
      </c>
      <c r="D1521" s="13">
        <f t="shared" si="30"/>
        <v>47.38690973000358</v>
      </c>
      <c r="E1521" s="61">
        <v>23</v>
      </c>
      <c r="F1521" s="65">
        <v>112.53199849715737</v>
      </c>
      <c r="G1521" s="6">
        <v>1432</v>
      </c>
      <c r="H1521" s="6">
        <v>1375</v>
      </c>
      <c r="I1521" s="65">
        <v>8.0822153280122606</v>
      </c>
      <c r="J1521" s="6">
        <f>VLOOKUP($D1521,Sheet1!$A$5:$C$192,3,TRUE)</f>
        <v>9</v>
      </c>
      <c r="K1521" s="42" t="str">
        <f>VLOOKUP($D1521,Sheet1!$A$5:$C$192,2,TRUE)</f>
        <v>/|)</v>
      </c>
      <c r="L1521" s="6">
        <f>FLOOR(VLOOKUP($D1521,Sheet1!$D$5:$F$192,3,TRUE),1)</f>
        <v>19</v>
      </c>
      <c r="M1521" s="42" t="str">
        <f>VLOOKUP($D1521,Sheet1!$D$5:$F$192,2,TRUE)</f>
        <v>)//|</v>
      </c>
      <c r="N1521" s="23">
        <f>FLOOR(VLOOKUP($D1521,Sheet1!$G$5:$I$192,3,TRUE),1)</f>
        <v>24</v>
      </c>
      <c r="O1521" s="42" t="str">
        <f>VLOOKUP($D1521,Sheet1!$G$5:$I$192,2,TRUE)</f>
        <v>)//|</v>
      </c>
      <c r="P1521" s="23">
        <v>1</v>
      </c>
      <c r="Q1521" s="43" t="str">
        <f>VLOOKUP($D1521,Sheet1!$J$5:$L$192,2,TRUE)</f>
        <v>)//|''</v>
      </c>
      <c r="R1521" s="23">
        <f>FLOOR(VLOOKUP($D1521,Sheet1!$M$5:$O$192,3,TRUE),1)</f>
        <v>97</v>
      </c>
      <c r="S1521" s="42" t="str">
        <f>VLOOKUP($D1521,Sheet1!$M$5:$O$192,2,TRUE)</f>
        <v>)//|''</v>
      </c>
      <c r="T1521" s="117">
        <f>IF(ABS(D1521-VLOOKUP($D1521,Sheet1!$M$5:$T$192,8,TRUE))&lt;10^-10,"SoCA",D1521-VLOOKUP($D1521,Sheet1!$M$5:$T$192,8,TRUE))</f>
        <v>0.16044108297575121</v>
      </c>
      <c r="U1521" s="109">
        <f>IF(VLOOKUP($D1521,Sheet1!$M$5:$U$192,9,TRUE)=0,"",IF(ABS(D1521-VLOOKUP($D1521,Sheet1!$M$5:$U$192,9,TRUE))&lt;10^-10,"Alt.",D1521-VLOOKUP($D1521,Sheet1!$M$5:$U$192,9,TRUE)))</f>
        <v>0.17449325037020458</v>
      </c>
      <c r="V1521" s="132">
        <f>$D1521-Sheet1!$M$3*$R1521</f>
        <v>5.8817079368147063E-2</v>
      </c>
      <c r="Z1521" s="6"/>
      <c r="AA1521" s="61"/>
    </row>
    <row r="1522" spans="1:27" ht="13.5">
      <c r="A1522" t="s">
        <v>1016</v>
      </c>
      <c r="B1522">
        <v>63767</v>
      </c>
      <c r="C1522">
        <v>65536</v>
      </c>
      <c r="D1522" s="13">
        <f t="shared" si="30"/>
        <v>47.373133305828979</v>
      </c>
      <c r="E1522" s="61">
        <v>31</v>
      </c>
      <c r="F1522" s="65">
        <v>126.10102729266914</v>
      </c>
      <c r="G1522" s="6">
        <v>934</v>
      </c>
      <c r="H1522" s="6">
        <v>864</v>
      </c>
      <c r="I1522" s="65">
        <v>-2.9169364073610624</v>
      </c>
      <c r="J1522" s="6">
        <f>VLOOKUP($D1522,Sheet1!$A$5:$C$192,3,TRUE)</f>
        <v>9</v>
      </c>
      <c r="K1522" s="42" t="str">
        <f>VLOOKUP($D1522,Sheet1!$A$5:$C$192,2,TRUE)</f>
        <v>/|)</v>
      </c>
      <c r="L1522" s="6">
        <f>FLOOR(VLOOKUP($D1522,Sheet1!$D$5:$F$192,3,TRUE),1)</f>
        <v>19</v>
      </c>
      <c r="M1522" s="42" t="str">
        <f>VLOOKUP($D1522,Sheet1!$D$5:$F$192,2,TRUE)</f>
        <v>)//|</v>
      </c>
      <c r="N1522" s="23">
        <f>FLOOR(VLOOKUP($D1522,Sheet1!$G$5:$I$192,3,TRUE),1)</f>
        <v>24</v>
      </c>
      <c r="O1522" s="42" t="str">
        <f>VLOOKUP($D1522,Sheet1!$G$5:$I$192,2,TRUE)</f>
        <v>)//|</v>
      </c>
      <c r="P1522" s="23">
        <v>1</v>
      </c>
      <c r="Q1522" s="43" t="str">
        <f>VLOOKUP($D1522,Sheet1!$J$5:$L$192,2,TRUE)</f>
        <v>)//|''</v>
      </c>
      <c r="R1522" s="23">
        <f>FLOOR(VLOOKUP($D1522,Sheet1!$M$5:$O$192,3,TRUE),1)</f>
        <v>97</v>
      </c>
      <c r="S1522" s="42" t="str">
        <f>VLOOKUP($D1522,Sheet1!$M$5:$O$192,2,TRUE)</f>
        <v>)//|''</v>
      </c>
      <c r="T1522" s="117">
        <f>IF(ABS(D1522-VLOOKUP($D1522,Sheet1!$M$5:$T$192,8,TRUE))&lt;10^-10,"SoCA",D1522-VLOOKUP($D1522,Sheet1!$M$5:$T$192,8,TRUE))</f>
        <v>0.14666465880114998</v>
      </c>
      <c r="U1522" s="109">
        <f>IF(VLOOKUP($D1522,Sheet1!$M$5:$U$192,9,TRUE)=0,"",IF(ABS(D1522-VLOOKUP($D1522,Sheet1!$M$5:$U$192,9,TRUE))&lt;10^-10,"Alt.",D1522-VLOOKUP($D1522,Sheet1!$M$5:$U$192,9,TRUE)))</f>
        <v>0.16071682619560335</v>
      </c>
      <c r="V1522" s="132">
        <f>$D1522-Sheet1!$M$3*$R1522</f>
        <v>4.5040655193545831E-2</v>
      </c>
      <c r="Z1522" s="6"/>
      <c r="AA1522" s="61"/>
    </row>
    <row r="1523" spans="1:27" ht="13.5">
      <c r="A1523" t="s">
        <v>942</v>
      </c>
      <c r="B1523">
        <v>30976</v>
      </c>
      <c r="C1523">
        <v>31833</v>
      </c>
      <c r="D1523" s="13">
        <f t="shared" si="30"/>
        <v>47.246721442363921</v>
      </c>
      <c r="E1523" s="61" t="s">
        <v>1931</v>
      </c>
      <c r="F1523" s="65">
        <v>184.10512422176112</v>
      </c>
      <c r="G1523" s="6">
        <v>852</v>
      </c>
      <c r="H1523" s="6">
        <v>790</v>
      </c>
      <c r="I1523" s="65">
        <v>2.0908472316159741</v>
      </c>
      <c r="J1523" s="6">
        <f>VLOOKUP($D1523,Sheet1!$A$5:$C$192,3,TRUE)</f>
        <v>9</v>
      </c>
      <c r="K1523" s="42" t="str">
        <f>VLOOKUP($D1523,Sheet1!$A$5:$C$192,2,TRUE)</f>
        <v>/|)</v>
      </c>
      <c r="L1523" s="6">
        <f>FLOOR(VLOOKUP($D1523,Sheet1!$D$5:$F$192,3,TRUE),1)</f>
        <v>19</v>
      </c>
      <c r="M1523" s="42" t="str">
        <f>VLOOKUP($D1523,Sheet1!$D$5:$F$192,2,TRUE)</f>
        <v>)//|</v>
      </c>
      <c r="N1523" s="23">
        <f>FLOOR(VLOOKUP($D1523,Sheet1!$G$5:$I$192,3,TRUE),1)</f>
        <v>24</v>
      </c>
      <c r="O1523" s="42" t="str">
        <f>VLOOKUP($D1523,Sheet1!$G$5:$I$192,2,TRUE)</f>
        <v>)//|</v>
      </c>
      <c r="P1523" s="23">
        <v>1</v>
      </c>
      <c r="Q1523" s="43" t="str">
        <f>VLOOKUP($D1523,Sheet1!$J$5:$L$192,2,TRUE)</f>
        <v>)//|''</v>
      </c>
      <c r="R1523" s="23">
        <f>FLOOR(VLOOKUP($D1523,Sheet1!$M$5:$O$192,3,TRUE),1)</f>
        <v>97</v>
      </c>
      <c r="S1523" s="42" t="str">
        <f>VLOOKUP($D1523,Sheet1!$M$5:$O$192,2,TRUE)</f>
        <v>)//|''</v>
      </c>
      <c r="T1523" s="117">
        <f>IF(ABS(D1523-VLOOKUP($D1523,Sheet1!$M$5:$T$192,8,TRUE))&lt;10^-10,"SoCA",D1523-VLOOKUP($D1523,Sheet1!$M$5:$T$192,8,TRUE))</f>
        <v>2.0252795336091367E-2</v>
      </c>
      <c r="U1523" s="109">
        <f>IF(VLOOKUP($D1523,Sheet1!$M$5:$U$192,9,TRUE)=0,"",IF(ABS(D1523-VLOOKUP($D1523,Sheet1!$M$5:$U$192,9,TRUE))&lt;10^-10,"Alt.",D1523-VLOOKUP($D1523,Sheet1!$M$5:$U$192,9,TRUE)))</f>
        <v>3.430496273054473E-2</v>
      </c>
      <c r="V1523" s="132">
        <f>$D1523-Sheet1!$M$3*$R1523</f>
        <v>-8.1371208271512785E-2</v>
      </c>
      <c r="Z1523" s="6"/>
      <c r="AA1523" s="61"/>
    </row>
    <row r="1524" spans="1:27" ht="13.5">
      <c r="A1524" s="23" t="s">
        <v>854</v>
      </c>
      <c r="B1524" s="23">
        <f>3^3*7^2</f>
        <v>1323</v>
      </c>
      <c r="C1524" s="23">
        <f>2^4*5*17</f>
        <v>1360</v>
      </c>
      <c r="D1524" s="13">
        <f t="shared" si="30"/>
        <v>47.752307830830006</v>
      </c>
      <c r="E1524" s="61">
        <v>17</v>
      </c>
      <c r="F1524" s="65">
        <v>36.697346952262748</v>
      </c>
      <c r="G1524" s="6">
        <v>650</v>
      </c>
      <c r="H1524" s="6">
        <v>701</v>
      </c>
      <c r="I1524" s="65">
        <v>-5.9402835642733809</v>
      </c>
      <c r="J1524" s="6">
        <f>VLOOKUP($D1524,Sheet1!$A$5:$C$192,3,TRUE)</f>
        <v>9</v>
      </c>
      <c r="K1524" s="42" t="str">
        <f>VLOOKUP($D1524,Sheet1!$A$5:$C$192,2,TRUE)</f>
        <v>/|)</v>
      </c>
      <c r="L1524" s="6">
        <f>FLOOR(VLOOKUP($D1524,Sheet1!$D$5:$F$192,3,TRUE),1)</f>
        <v>20</v>
      </c>
      <c r="M1524" s="42" t="str">
        <f>VLOOKUP($D1524,Sheet1!$D$5:$F$192,2,TRUE)</f>
        <v>/|)</v>
      </c>
      <c r="N1524" s="23">
        <f>FLOOR(VLOOKUP($D1524,Sheet1!$G$5:$I$192,3,TRUE),1)</f>
        <v>25</v>
      </c>
      <c r="O1524" s="42" t="str">
        <f>VLOOKUP($D1524,Sheet1!$G$5:$I$192,2,TRUE)</f>
        <v>/|)</v>
      </c>
      <c r="P1524" s="23">
        <v>1</v>
      </c>
      <c r="Q1524" s="43" t="str">
        <f>VLOOKUP($D1524,Sheet1!$J$5:$L$192,2,TRUE)</f>
        <v>/|)..</v>
      </c>
      <c r="R1524" s="23">
        <f>FLOOR(VLOOKUP($D1524,Sheet1!$M$5:$O$192,3,TRUE),1)</f>
        <v>98</v>
      </c>
      <c r="S1524" s="43" t="str">
        <f>VLOOKUP($D1524,Sheet1!$M$5:$O$192,2,TRUE)</f>
        <v>/|)..</v>
      </c>
      <c r="T1524" s="117">
        <f>IF(ABS(D1524-VLOOKUP($D1524,Sheet1!$M$5:$T$192,8,TRUE))&lt;10^-10,"SoCA",D1524-VLOOKUP($D1524,Sheet1!$M$5:$T$192,8,TRUE))</f>
        <v>-0.18554936188331794</v>
      </c>
      <c r="U1524" s="117">
        <f>IF(VLOOKUP($D1524,Sheet1!$M$5:$U$192,9,TRUE)=0,"",IF(ABS(D1524-VLOOKUP($D1524,Sheet1!$M$5:$U$192,9,TRUE))&lt;10^-10,"Alt.",D1524-VLOOKUP($D1524,Sheet1!$M$5:$U$192,9,TRUE)))</f>
        <v>-0.19960152927777131</v>
      </c>
      <c r="V1524" s="132">
        <f>$D1524-Sheet1!$M$3*$R1524</f>
        <v>-6.3703300739817337E-2</v>
      </c>
      <c r="Z1524" s="6"/>
      <c r="AA1524" s="61"/>
    </row>
    <row r="1525" spans="1:27" ht="13.5">
      <c r="A1525" s="23" t="s">
        <v>606</v>
      </c>
      <c r="B1525" s="23">
        <f>2^9*11*17</f>
        <v>95744</v>
      </c>
      <c r="C1525" s="23">
        <f>3^9*5</f>
        <v>98415</v>
      </c>
      <c r="D1525" s="13">
        <f t="shared" si="30"/>
        <v>47.635369788157483</v>
      </c>
      <c r="E1525" s="61">
        <v>17</v>
      </c>
      <c r="F1525" s="65">
        <v>45.286362715513469</v>
      </c>
      <c r="G1525" s="6">
        <v>438.1</v>
      </c>
      <c r="H1525" s="6">
        <v>451.1</v>
      </c>
      <c r="I1525" s="65">
        <v>6.066916737042451</v>
      </c>
      <c r="J1525" s="6">
        <f>VLOOKUP($D1525,Sheet1!$A$5:$C$192,3,TRUE)</f>
        <v>9</v>
      </c>
      <c r="K1525" s="42" t="str">
        <f>VLOOKUP($D1525,Sheet1!$A$5:$C$192,2,TRUE)</f>
        <v>/|)</v>
      </c>
      <c r="L1525" s="6">
        <f>FLOOR(VLOOKUP($D1525,Sheet1!$D$5:$F$192,3,TRUE),1)</f>
        <v>20</v>
      </c>
      <c r="M1525" s="42" t="str">
        <f>VLOOKUP($D1525,Sheet1!$D$5:$F$192,2,TRUE)</f>
        <v>/|)</v>
      </c>
      <c r="N1525" s="23">
        <f>FLOOR(VLOOKUP($D1525,Sheet1!$G$5:$I$192,3,TRUE),1)</f>
        <v>25</v>
      </c>
      <c r="O1525" s="42" t="str">
        <f>VLOOKUP($D1525,Sheet1!$G$5:$I$192,2,TRUE)</f>
        <v>/|)</v>
      </c>
      <c r="P1525" s="23">
        <v>1</v>
      </c>
      <c r="Q1525" s="43" t="str">
        <f>VLOOKUP($D1525,Sheet1!$J$5:$L$192,2,TRUE)</f>
        <v>/|)..</v>
      </c>
      <c r="R1525" s="23">
        <f>FLOOR(VLOOKUP($D1525,Sheet1!$M$5:$O$192,3,TRUE),1)</f>
        <v>98</v>
      </c>
      <c r="S1525" s="43" t="str">
        <f>VLOOKUP($D1525,Sheet1!$M$5:$O$192,2,TRUE)</f>
        <v>/|)..</v>
      </c>
      <c r="T1525" s="117">
        <f>IF(ABS(D1525-VLOOKUP($D1525,Sheet1!$M$5:$T$192,8,TRUE))&lt;10^-10,"SoCA",D1525-VLOOKUP($D1525,Sheet1!$M$5:$T$192,8,TRUE))</f>
        <v>-0.30248740455584056</v>
      </c>
      <c r="U1525" s="117">
        <f>IF(VLOOKUP($D1525,Sheet1!$M$5:$U$192,9,TRUE)=0,"",IF(ABS(D1525-VLOOKUP($D1525,Sheet1!$M$5:$U$192,9,TRUE))&lt;10^-10,"Alt.",D1525-VLOOKUP($D1525,Sheet1!$M$5:$U$192,9,TRUE)))</f>
        <v>-0.31653957195029392</v>
      </c>
      <c r="V1525" s="132">
        <f>$D1525-Sheet1!$M$3*$R1525</f>
        <v>-0.18064134341233995</v>
      </c>
      <c r="Z1525" s="6"/>
      <c r="AA1525" s="61"/>
    </row>
    <row r="1526" spans="1:27" ht="13.5">
      <c r="A1526" s="38" t="s">
        <v>1982</v>
      </c>
      <c r="B1526" s="38">
        <f>2^3*5^2*7*13</f>
        <v>18200</v>
      </c>
      <c r="C1526" s="106">
        <f>3^5*7*11</f>
        <v>18711</v>
      </c>
      <c r="D1526" s="13">
        <f t="shared" si="30"/>
        <v>47.937857192713629</v>
      </c>
      <c r="E1526" s="22">
        <v>13</v>
      </c>
      <c r="F1526" s="65">
        <v>47.957681702307752</v>
      </c>
      <c r="G1526" s="18">
        <v>2000000</v>
      </c>
      <c r="H1526" s="18">
        <v>2000000</v>
      </c>
      <c r="I1526" s="92">
        <v>4.0940384571155772E-2</v>
      </c>
      <c r="J1526" s="6">
        <f>VLOOKUP($D1526,Sheet1!$A$5:$C$192,3,TRUE)</f>
        <v>9</v>
      </c>
      <c r="K1526" s="42" t="str">
        <f>VLOOKUP($D1526,Sheet1!$A$5:$C$192,2,TRUE)</f>
        <v>/|)</v>
      </c>
      <c r="L1526" s="6">
        <f>FLOOR(VLOOKUP($D1526,Sheet1!$D$5:$F$192,3,TRUE),1)</f>
        <v>20</v>
      </c>
      <c r="M1526" s="42" t="str">
        <f>VLOOKUP($D1526,Sheet1!$D$5:$F$192,2,TRUE)</f>
        <v>/|)</v>
      </c>
      <c r="N1526" s="23">
        <f>FLOOR(VLOOKUP($D1526,Sheet1!$G$5:$I$192,3,TRUE),1)</f>
        <v>25</v>
      </c>
      <c r="O1526" s="42" t="str">
        <f>VLOOKUP($D1526,Sheet1!$G$5:$I$192,2,TRUE)</f>
        <v>/|)</v>
      </c>
      <c r="P1526" s="23">
        <v>1</v>
      </c>
      <c r="Q1526" s="45" t="str">
        <f>VLOOKUP($D1526,Sheet1!$J$5:$L$192,2,TRUE)</f>
        <v>/|)..</v>
      </c>
      <c r="R1526" s="38">
        <f>FLOOR(VLOOKUP($D1526,Sheet1!$M$5:$O$192,3,TRUE),1)</f>
        <v>98</v>
      </c>
      <c r="S1526" s="45" t="str">
        <f>VLOOKUP($D1526,Sheet1!$M$5:$O$192,2,TRUE)</f>
        <v>/|)..</v>
      </c>
      <c r="T1526" s="112" t="str">
        <f>IF(ABS(D1526-VLOOKUP($D1526,Sheet1!$M$5:$T$192,8,TRUE))&lt;10^-10,"SoCA",D1526-VLOOKUP($D1526,Sheet1!$M$5:$T$192,8,TRUE))</f>
        <v>SoCA</v>
      </c>
      <c r="U1526" s="108">
        <f>IF(VLOOKUP($D1526,Sheet1!$M$5:$U$192,9,TRUE)=0,"",IF(ABS(D1526-VLOOKUP($D1526,Sheet1!$M$5:$U$192,9,TRUE))&lt;10^-10,"Alt.",D1526-VLOOKUP($D1526,Sheet1!$M$5:$U$192,9,TRUE)))</f>
        <v>-1.405216739414783E-2</v>
      </c>
      <c r="V1526" s="133">
        <f>$D1526-Sheet1!$M$3*$R1526</f>
        <v>0.12184606114380614</v>
      </c>
      <c r="Z1526" s="6"/>
      <c r="AA1526" s="61"/>
    </row>
    <row r="1527" spans="1:27" ht="13.5">
      <c r="A1527" s="6" t="s">
        <v>1861</v>
      </c>
      <c r="B1527">
        <v>32805</v>
      </c>
      <c r="C1527">
        <v>33728</v>
      </c>
      <c r="D1527" s="13">
        <f t="shared" si="30"/>
        <v>48.037261176723312</v>
      </c>
      <c r="E1527" s="61">
        <v>31</v>
      </c>
      <c r="F1527" s="65">
        <v>88.449477811524943</v>
      </c>
      <c r="G1527" s="59">
        <v>1695</v>
      </c>
      <c r="H1527" s="63">
        <v>1000066</v>
      </c>
      <c r="I1527" s="65">
        <v>-10.957829179921591</v>
      </c>
      <c r="J1527" s="6">
        <f>VLOOKUP($D1527,Sheet1!$A$5:$C$192,3,TRUE)</f>
        <v>9</v>
      </c>
      <c r="K1527" s="42" t="str">
        <f>VLOOKUP($D1527,Sheet1!$A$5:$C$192,2,TRUE)</f>
        <v>/|)</v>
      </c>
      <c r="L1527" s="6">
        <f>FLOOR(VLOOKUP($D1527,Sheet1!$D$5:$F$192,3,TRUE),1)</f>
        <v>20</v>
      </c>
      <c r="M1527" s="42" t="str">
        <f>VLOOKUP($D1527,Sheet1!$D$5:$F$192,2,TRUE)</f>
        <v>/|)</v>
      </c>
      <c r="N1527" s="23">
        <f>FLOOR(VLOOKUP($D1527,Sheet1!$G$5:$I$192,3,TRUE),1)</f>
        <v>25</v>
      </c>
      <c r="O1527" s="42" t="str">
        <f>VLOOKUP($D1527,Sheet1!$G$5:$I$192,2,TRUE)</f>
        <v>/|)</v>
      </c>
      <c r="P1527" s="23">
        <v>1</v>
      </c>
      <c r="Q1527" s="43" t="str">
        <f>VLOOKUP($D1527,Sheet1!$J$5:$L$192,2,TRUE)</f>
        <v>/|)..</v>
      </c>
      <c r="R1527" s="23">
        <f>FLOOR(VLOOKUP($D1527,Sheet1!$M$5:$O$192,3,TRUE),1)</f>
        <v>98</v>
      </c>
      <c r="S1527" s="42" t="str">
        <f>VLOOKUP($D1527,Sheet1!$M$5:$O$192,2,TRUE)</f>
        <v>/|)..</v>
      </c>
      <c r="T1527" s="117">
        <f>IF(ABS(D1527-VLOOKUP($D1527,Sheet1!$M$5:$T$192,8,TRUE))&lt;10^-10,"SoCA",D1527-VLOOKUP($D1527,Sheet1!$M$5:$T$192,8,TRUE))</f>
        <v>9.9403984009988733E-2</v>
      </c>
      <c r="U1527" s="109">
        <f>IF(VLOOKUP($D1527,Sheet1!$M$5:$U$192,9,TRUE)=0,"",IF(ABS(D1527-VLOOKUP($D1527,Sheet1!$M$5:$U$192,9,TRUE))&lt;10^-10,"Alt.",D1527-VLOOKUP($D1527,Sheet1!$M$5:$U$192,9,TRUE)))</f>
        <v>8.535181661553537E-2</v>
      </c>
      <c r="V1527" s="132">
        <f>$D1527-Sheet1!$M$3*$R1527</f>
        <v>0.22125004515348934</v>
      </c>
      <c r="Z1527" s="6"/>
      <c r="AA1527" s="61"/>
    </row>
    <row r="1528" spans="1:27" ht="13.5">
      <c r="A1528" s="21" t="s">
        <v>426</v>
      </c>
      <c r="B1528" s="21">
        <f>3*83</f>
        <v>249</v>
      </c>
      <c r="C1528" s="21">
        <f>2^8</f>
        <v>256</v>
      </c>
      <c r="D1528" s="13">
        <f t="shared" si="30"/>
        <v>47.99768151830272</v>
      </c>
      <c r="E1528" s="61" t="s">
        <v>1931</v>
      </c>
      <c r="F1528" s="65">
        <v>99.814903830800176</v>
      </c>
      <c r="G1528" s="6">
        <v>289</v>
      </c>
      <c r="H1528" s="6">
        <v>264</v>
      </c>
      <c r="I1528" s="65">
        <v>-3.9553921161560885</v>
      </c>
      <c r="J1528" s="6">
        <f>VLOOKUP($D1528,Sheet1!$A$5:$C$192,3,TRUE)</f>
        <v>9</v>
      </c>
      <c r="K1528" s="42" t="str">
        <f>VLOOKUP($D1528,Sheet1!$A$5:$C$192,2,TRUE)</f>
        <v>/|)</v>
      </c>
      <c r="L1528" s="6">
        <f>FLOOR(VLOOKUP($D1528,Sheet1!$D$5:$F$192,3,TRUE),1)</f>
        <v>20</v>
      </c>
      <c r="M1528" s="42" t="str">
        <f>VLOOKUP($D1528,Sheet1!$D$5:$F$192,2,TRUE)</f>
        <v>/|)</v>
      </c>
      <c r="N1528" s="23">
        <f>FLOOR(VLOOKUP($D1528,Sheet1!$G$5:$I$192,3,TRUE),1)</f>
        <v>25</v>
      </c>
      <c r="O1528" s="42" t="str">
        <f>VLOOKUP($D1528,Sheet1!$G$5:$I$192,2,TRUE)</f>
        <v>/|)</v>
      </c>
      <c r="P1528" s="23">
        <v>1</v>
      </c>
      <c r="Q1528" s="43" t="str">
        <f>VLOOKUP($D1528,Sheet1!$J$5:$L$192,2,TRUE)</f>
        <v>/|)..</v>
      </c>
      <c r="R1528" s="23">
        <f>FLOOR(VLOOKUP($D1528,Sheet1!$M$5:$O$192,3,TRUE),1)</f>
        <v>98</v>
      </c>
      <c r="S1528" s="43" t="str">
        <f>VLOOKUP($D1528,Sheet1!$M$5:$O$192,2,TRUE)</f>
        <v>/|)..</v>
      </c>
      <c r="T1528" s="117">
        <f>IF(ABS(D1528-VLOOKUP($D1528,Sheet1!$M$5:$T$192,8,TRUE))&lt;10^-10,"SoCA",D1528-VLOOKUP($D1528,Sheet1!$M$5:$T$192,8,TRUE))</f>
        <v>5.982432558939621E-2</v>
      </c>
      <c r="U1528" s="109">
        <f>IF(VLOOKUP($D1528,Sheet1!$M$5:$U$192,9,TRUE)=0,"",IF(ABS(D1528-VLOOKUP($D1528,Sheet1!$M$5:$U$192,9,TRUE))&lt;10^-10,"Alt.",D1528-VLOOKUP($D1528,Sheet1!$M$5:$U$192,9,TRUE)))</f>
        <v>4.5772158194942847E-2</v>
      </c>
      <c r="V1528" s="132">
        <f>$D1528-Sheet1!$M$3*$R1528</f>
        <v>0.18167038673289682</v>
      </c>
      <c r="Z1528" s="6"/>
      <c r="AA1528" s="61"/>
    </row>
    <row r="1529" spans="1:27" ht="13.5">
      <c r="A1529" t="s">
        <v>1322</v>
      </c>
      <c r="B1529">
        <v>1589248</v>
      </c>
      <c r="C1529">
        <v>1633689</v>
      </c>
      <c r="D1529" s="13">
        <f t="shared" si="30"/>
        <v>47.746914780243102</v>
      </c>
      <c r="E1529" s="61" t="s">
        <v>1931</v>
      </c>
      <c r="F1529" s="65">
        <v>188.31862243767281</v>
      </c>
      <c r="G1529" s="6">
        <v>1232</v>
      </c>
      <c r="H1529" s="6">
        <v>1171</v>
      </c>
      <c r="I1529" s="65">
        <v>6.0600485054992088</v>
      </c>
      <c r="J1529" s="6">
        <f>VLOOKUP($D1529,Sheet1!$A$5:$C$192,3,TRUE)</f>
        <v>9</v>
      </c>
      <c r="K1529" s="42" t="str">
        <f>VLOOKUP($D1529,Sheet1!$A$5:$C$192,2,TRUE)</f>
        <v>/|)</v>
      </c>
      <c r="L1529" s="6">
        <f>FLOOR(VLOOKUP($D1529,Sheet1!$D$5:$F$192,3,TRUE),1)</f>
        <v>20</v>
      </c>
      <c r="M1529" s="42" t="str">
        <f>VLOOKUP($D1529,Sheet1!$D$5:$F$192,2,TRUE)</f>
        <v>/|)</v>
      </c>
      <c r="N1529" s="23">
        <f>FLOOR(VLOOKUP($D1529,Sheet1!$G$5:$I$192,3,TRUE),1)</f>
        <v>25</v>
      </c>
      <c r="O1529" s="42" t="str">
        <f>VLOOKUP($D1529,Sheet1!$G$5:$I$192,2,TRUE)</f>
        <v>/|)</v>
      </c>
      <c r="P1529" s="23">
        <v>1</v>
      </c>
      <c r="Q1529" s="43" t="str">
        <f>VLOOKUP($D1529,Sheet1!$J$5:$L$192,2,TRUE)</f>
        <v>/|)..</v>
      </c>
      <c r="R1529" s="23">
        <f>FLOOR(VLOOKUP($D1529,Sheet1!$M$5:$O$192,3,TRUE),1)</f>
        <v>98</v>
      </c>
      <c r="S1529" s="42" t="str">
        <f>VLOOKUP($D1529,Sheet1!$M$5:$O$192,2,TRUE)</f>
        <v>/|)..</v>
      </c>
      <c r="T1529" s="117">
        <f>IF(ABS(D1529-VLOOKUP($D1529,Sheet1!$M$5:$T$192,8,TRUE))&lt;10^-10,"SoCA",D1529-VLOOKUP($D1529,Sheet1!$M$5:$T$192,8,TRUE))</f>
        <v>-0.19094241247022126</v>
      </c>
      <c r="U1529" s="109">
        <f>IF(VLOOKUP($D1529,Sheet1!$M$5:$U$192,9,TRUE)=0,"",IF(ABS(D1529-VLOOKUP($D1529,Sheet1!$M$5:$U$192,9,TRUE))&lt;10^-10,"Alt.",D1529-VLOOKUP($D1529,Sheet1!$M$5:$U$192,9,TRUE)))</f>
        <v>-0.20499457986467462</v>
      </c>
      <c r="V1529" s="132">
        <f>$D1529-Sheet1!$M$3*$R1529</f>
        <v>-6.9096351326720651E-2</v>
      </c>
      <c r="Z1529" s="6"/>
      <c r="AA1529" s="61"/>
    </row>
    <row r="1530" spans="1:27" ht="13.5">
      <c r="A1530" s="36" t="s">
        <v>190</v>
      </c>
      <c r="B1530" s="36">
        <f>2^10</f>
        <v>1024</v>
      </c>
      <c r="C1530" s="36">
        <f>3^4*13</f>
        <v>1053</v>
      </c>
      <c r="D1530" s="51">
        <f t="shared" si="30"/>
        <v>48.347665230860272</v>
      </c>
      <c r="E1530" s="61">
        <v>13</v>
      </c>
      <c r="F1530" s="65">
        <v>15.734881068181641</v>
      </c>
      <c r="G1530" s="6">
        <v>13.1</v>
      </c>
      <c r="H1530" s="6">
        <v>13.1</v>
      </c>
      <c r="I1530" s="65">
        <v>1.0230581116016579</v>
      </c>
      <c r="J1530" s="6">
        <f>VLOOKUP($D1530,Sheet1!$A$5:$C$192,3,TRUE)</f>
        <v>9</v>
      </c>
      <c r="K1530" s="42" t="str">
        <f>VLOOKUP($D1530,Sheet1!$A$5:$C$192,2,TRUE)</f>
        <v>/|)</v>
      </c>
      <c r="L1530" s="6">
        <f>FLOOR(VLOOKUP($D1530,Sheet1!$D$5:$F$192,3,TRUE),1)</f>
        <v>20</v>
      </c>
      <c r="M1530" s="42" t="str">
        <f>VLOOKUP($D1530,Sheet1!$D$5:$F$192,2,TRUE)</f>
        <v>/|)</v>
      </c>
      <c r="N1530" s="23">
        <f>FLOOR(VLOOKUP($D1530,Sheet1!$G$5:$I$192,3,TRUE),1)</f>
        <v>25</v>
      </c>
      <c r="O1530" s="42" t="str">
        <f>VLOOKUP($D1530,Sheet1!$G$5:$I$192,2,TRUE)</f>
        <v>/|)</v>
      </c>
      <c r="P1530" s="23">
        <v>1</v>
      </c>
      <c r="Q1530" s="45" t="str">
        <f>VLOOKUP($D1530,Sheet1!$J$5:$L$192,2,TRUE)</f>
        <v>/|).</v>
      </c>
      <c r="R1530" s="38">
        <f>FLOOR(VLOOKUP($D1530,Sheet1!$M$5:$O$192,3,TRUE),1)</f>
        <v>99</v>
      </c>
      <c r="S1530" s="45" t="str">
        <f>VLOOKUP($D1530,Sheet1!$M$5:$O$192,2,TRUE)</f>
        <v>/|).</v>
      </c>
      <c r="T1530" s="112" t="str">
        <f>IF(ABS(D1530-VLOOKUP($D1530,Sheet1!$M$5:$T$192,8,TRUE))&lt;10^-10,"SoCA",D1530-VLOOKUP($D1530,Sheet1!$M$5:$T$192,8,TRUE))</f>
        <v>SoCA</v>
      </c>
      <c r="U1530" s="108">
        <f>IF(VLOOKUP($D1530,Sheet1!$M$5:$U$192,9,TRUE)=0,"",IF(ABS(D1530-VLOOKUP($D1530,Sheet1!$M$5:$U$192,9,TRUE))&lt;10^-10,"Alt.",D1530-VLOOKUP($D1530,Sheet1!$M$5:$U$192,9,TRUE)))</f>
        <v>-2.6960295202258067E-2</v>
      </c>
      <c r="V1530" s="133">
        <f>$D1530-Sheet1!$M$3*$R1530</f>
        <v>4.3735618356066652E-2</v>
      </c>
      <c r="Z1530" s="6"/>
      <c r="AA1530" s="61"/>
    </row>
    <row r="1531" spans="1:27" ht="13.5">
      <c r="A1531" s="6" t="s">
        <v>1802</v>
      </c>
      <c r="B1531" s="6">
        <f>3^8*17</f>
        <v>111537</v>
      </c>
      <c r="C1531" s="6">
        <f>2^14*7</f>
        <v>114688</v>
      </c>
      <c r="D1531" s="13">
        <f t="shared" si="30"/>
        <v>48.23049004561841</v>
      </c>
      <c r="E1531" s="61">
        <v>17</v>
      </c>
      <c r="F1531" s="65">
        <v>44.351687917839961</v>
      </c>
      <c r="G1531" s="59">
        <v>291</v>
      </c>
      <c r="H1531" s="63">
        <v>1000007</v>
      </c>
      <c r="I1531" s="65">
        <v>-10.969726985350558</v>
      </c>
      <c r="J1531" s="6">
        <f>VLOOKUP($D1531,Sheet1!$A$5:$C$192,3,TRUE)</f>
        <v>9</v>
      </c>
      <c r="K1531" s="42" t="str">
        <f>VLOOKUP($D1531,Sheet1!$A$5:$C$192,2,TRUE)</f>
        <v>/|)</v>
      </c>
      <c r="L1531" s="6">
        <f>FLOOR(VLOOKUP($D1531,Sheet1!$D$5:$F$192,3,TRUE),1)</f>
        <v>20</v>
      </c>
      <c r="M1531" s="42" t="str">
        <f>VLOOKUP($D1531,Sheet1!$D$5:$F$192,2,TRUE)</f>
        <v>/|)</v>
      </c>
      <c r="N1531" s="23">
        <f>FLOOR(VLOOKUP($D1531,Sheet1!$G$5:$I$192,3,TRUE),1)</f>
        <v>25</v>
      </c>
      <c r="O1531" s="42" t="str">
        <f>VLOOKUP($D1531,Sheet1!$G$5:$I$192,2,TRUE)</f>
        <v>/|)</v>
      </c>
      <c r="P1531" s="23">
        <v>1</v>
      </c>
      <c r="Q1531" s="43" t="str">
        <f>VLOOKUP($D1531,Sheet1!$J$5:$L$192,2,TRUE)</f>
        <v>/|).</v>
      </c>
      <c r="R1531" s="23">
        <f>FLOOR(VLOOKUP($D1531,Sheet1!$M$5:$O$192,3,TRUE),1)</f>
        <v>99</v>
      </c>
      <c r="S1531" s="42" t="str">
        <f>VLOOKUP($D1531,Sheet1!$M$5:$O$192,2,TRUE)</f>
        <v>/|).</v>
      </c>
      <c r="T1531" s="117">
        <f>IF(ABS(D1531-VLOOKUP($D1531,Sheet1!$M$5:$T$192,8,TRUE))&lt;10^-10,"SoCA",D1531-VLOOKUP($D1531,Sheet1!$M$5:$T$192,8,TRUE))</f>
        <v>-0.11717518524168469</v>
      </c>
      <c r="U1531" s="109">
        <f>IF(VLOOKUP($D1531,Sheet1!$M$5:$U$192,9,TRUE)=0,"",IF(ABS(D1531-VLOOKUP($D1531,Sheet1!$M$5:$U$192,9,TRUE))&lt;10^-10,"Alt.",D1531-VLOOKUP($D1531,Sheet1!$M$5:$U$192,9,TRUE)))</f>
        <v>-0.14413548044412039</v>
      </c>
      <c r="V1531" s="132">
        <f>$D1531-Sheet1!$M$3*$R1531</f>
        <v>-7.3439566885795671E-2</v>
      </c>
      <c r="Z1531" s="6"/>
      <c r="AA1531" s="61"/>
    </row>
    <row r="1532" spans="1:27" ht="13.5">
      <c r="A1532" s="6" t="s">
        <v>683</v>
      </c>
      <c r="B1532" s="6">
        <f>3^6*7</f>
        <v>5103</v>
      </c>
      <c r="C1532" s="6">
        <f>2^7*41</f>
        <v>5248</v>
      </c>
      <c r="D1532" s="13">
        <f t="shared" si="30"/>
        <v>48.506493880250986</v>
      </c>
      <c r="E1532" s="61">
        <v>41</v>
      </c>
      <c r="F1532" s="65">
        <v>54.173303993696202</v>
      </c>
      <c r="G1532" s="6">
        <v>407</v>
      </c>
      <c r="H1532" s="6">
        <v>528</v>
      </c>
      <c r="I1532" s="65">
        <v>-8.986721546985601</v>
      </c>
      <c r="J1532" s="6">
        <f>VLOOKUP($D1532,Sheet1!$A$5:$C$192,3,TRUE)</f>
        <v>9</v>
      </c>
      <c r="K1532" s="42" t="str">
        <f>VLOOKUP($D1532,Sheet1!$A$5:$C$192,2,TRUE)</f>
        <v>/|)</v>
      </c>
      <c r="L1532" s="6">
        <f>FLOOR(VLOOKUP($D1532,Sheet1!$D$5:$F$192,3,TRUE),1)</f>
        <v>20</v>
      </c>
      <c r="M1532" s="42" t="str">
        <f>VLOOKUP($D1532,Sheet1!$D$5:$F$192,2,TRUE)</f>
        <v>/|)</v>
      </c>
      <c r="N1532" s="23">
        <f>FLOOR(VLOOKUP($D1532,Sheet1!$G$5:$I$192,3,TRUE),1)</f>
        <v>25</v>
      </c>
      <c r="O1532" s="42" t="str">
        <f>VLOOKUP($D1532,Sheet1!$G$5:$I$192,2,TRUE)</f>
        <v>/|)</v>
      </c>
      <c r="P1532" s="23">
        <v>1</v>
      </c>
      <c r="Q1532" s="43" t="str">
        <f>VLOOKUP($D1532,Sheet1!$J$5:$L$192,2,TRUE)</f>
        <v>/|).</v>
      </c>
      <c r="R1532" s="23">
        <f>FLOOR(VLOOKUP($D1532,Sheet1!$M$5:$O$192,3,TRUE),1)</f>
        <v>99</v>
      </c>
      <c r="S1532" s="42" t="str">
        <f>VLOOKUP($D1532,Sheet1!$M$5:$O$192,2,TRUE)</f>
        <v>/|).</v>
      </c>
      <c r="T1532" s="117">
        <f>IF(ABS(D1532-VLOOKUP($D1532,Sheet1!$M$5:$T$192,8,TRUE))&lt;10^-10,"SoCA",D1532-VLOOKUP($D1532,Sheet1!$M$5:$T$192,8,TRUE))</f>
        <v>0.15882864939089103</v>
      </c>
      <c r="U1532" s="109">
        <f>IF(VLOOKUP($D1532,Sheet1!$M$5:$U$192,9,TRUE)=0,"",IF(ABS(D1532-VLOOKUP($D1532,Sheet1!$M$5:$U$192,9,TRUE))&lt;10^-10,"Alt.",D1532-VLOOKUP($D1532,Sheet1!$M$5:$U$192,9,TRUE)))</f>
        <v>0.13186835418845533</v>
      </c>
      <c r="V1532" s="132">
        <f>$D1532-Sheet1!$M$3*$R1532</f>
        <v>0.20256426774678005</v>
      </c>
      <c r="Z1532" s="6"/>
      <c r="AA1532" s="61"/>
    </row>
    <row r="1533" spans="1:27" ht="13.5">
      <c r="A1533" s="6" t="s">
        <v>821</v>
      </c>
      <c r="B1533" s="6">
        <f>2^7*7*13</f>
        <v>11648</v>
      </c>
      <c r="C1533" s="6">
        <f>3^2*11^3</f>
        <v>11979</v>
      </c>
      <c r="D1533" s="13">
        <f t="shared" si="30"/>
        <v>48.510260586609313</v>
      </c>
      <c r="E1533" s="61">
        <v>13</v>
      </c>
      <c r="F1533" s="65">
        <v>63.666213500877667</v>
      </c>
      <c r="G1533" s="6">
        <v>751</v>
      </c>
      <c r="H1533" s="6">
        <v>668</v>
      </c>
      <c r="I1533" s="65">
        <v>-0.9869534768189423</v>
      </c>
      <c r="J1533" s="6">
        <f>VLOOKUP($D1533,Sheet1!$A$5:$C$192,3,TRUE)</f>
        <v>9</v>
      </c>
      <c r="K1533" s="42" t="str">
        <f>VLOOKUP($D1533,Sheet1!$A$5:$C$192,2,TRUE)</f>
        <v>/|)</v>
      </c>
      <c r="L1533" s="6">
        <f>FLOOR(VLOOKUP($D1533,Sheet1!$D$5:$F$192,3,TRUE),1)</f>
        <v>20</v>
      </c>
      <c r="M1533" s="42" t="str">
        <f>VLOOKUP($D1533,Sheet1!$D$5:$F$192,2,TRUE)</f>
        <v>/|)</v>
      </c>
      <c r="N1533" s="23">
        <f>FLOOR(VLOOKUP($D1533,Sheet1!$G$5:$I$192,3,TRUE),1)</f>
        <v>25</v>
      </c>
      <c r="O1533" s="42" t="str">
        <f>VLOOKUP($D1533,Sheet1!$G$5:$I$192,2,TRUE)</f>
        <v>/|)</v>
      </c>
      <c r="P1533" s="23">
        <v>1</v>
      </c>
      <c r="Q1533" s="43" t="str">
        <f>VLOOKUP($D1533,Sheet1!$J$5:$L$192,2,TRUE)</f>
        <v>/|).</v>
      </c>
      <c r="R1533" s="23">
        <f>FLOOR(VLOOKUP($D1533,Sheet1!$M$5:$O$192,3,TRUE),1)</f>
        <v>99</v>
      </c>
      <c r="S1533" s="42" t="str">
        <f>VLOOKUP($D1533,Sheet1!$M$5:$O$192,2,TRUE)</f>
        <v>/|).</v>
      </c>
      <c r="T1533" s="117">
        <f>IF(ABS(D1533-VLOOKUP($D1533,Sheet1!$M$5:$T$192,8,TRUE))&lt;10^-10,"SoCA",D1533-VLOOKUP($D1533,Sheet1!$M$5:$T$192,8,TRUE))</f>
        <v>0.16259535574921813</v>
      </c>
      <c r="U1533" s="109">
        <f>IF(VLOOKUP($D1533,Sheet1!$M$5:$U$192,9,TRUE)=0,"",IF(ABS(D1533-VLOOKUP($D1533,Sheet1!$M$5:$U$192,9,TRUE))&lt;10^-10,"Alt.",D1533-VLOOKUP($D1533,Sheet1!$M$5:$U$192,9,TRUE)))</f>
        <v>0.13563506054678243</v>
      </c>
      <c r="V1533" s="132">
        <f>$D1533-Sheet1!$M$3*$R1533</f>
        <v>0.20633097410510715</v>
      </c>
      <c r="Z1533" s="6"/>
      <c r="AA1533" s="61"/>
    </row>
    <row r="1534" spans="1:27" ht="13.5">
      <c r="A1534" s="23" t="s">
        <v>662</v>
      </c>
      <c r="B1534" s="23">
        <f>2^18*23</f>
        <v>6029312</v>
      </c>
      <c r="C1534" s="23">
        <f>3^11*5*7</f>
        <v>6200145</v>
      </c>
      <c r="D1534" s="13">
        <f t="shared" si="30"/>
        <v>48.370282584805885</v>
      </c>
      <c r="E1534" s="61">
        <v>23</v>
      </c>
      <c r="F1534" s="65">
        <v>65.018374147459753</v>
      </c>
      <c r="G1534" s="6">
        <v>436.1</v>
      </c>
      <c r="H1534" s="6">
        <v>507.1</v>
      </c>
      <c r="I1534" s="65">
        <v>8.0216654787197204</v>
      </c>
      <c r="J1534" s="6">
        <f>VLOOKUP($D1534,Sheet1!$A$5:$C$192,3,TRUE)</f>
        <v>9</v>
      </c>
      <c r="K1534" s="42" t="str">
        <f>VLOOKUP($D1534,Sheet1!$A$5:$C$192,2,TRUE)</f>
        <v>/|)</v>
      </c>
      <c r="L1534" s="6">
        <f>FLOOR(VLOOKUP($D1534,Sheet1!$D$5:$F$192,3,TRUE),1)</f>
        <v>20</v>
      </c>
      <c r="M1534" s="42" t="str">
        <f>VLOOKUP($D1534,Sheet1!$D$5:$F$192,2,TRUE)</f>
        <v>/|)</v>
      </c>
      <c r="N1534" s="23">
        <f>FLOOR(VLOOKUP($D1534,Sheet1!$G$5:$I$192,3,TRUE),1)</f>
        <v>25</v>
      </c>
      <c r="O1534" s="42" t="str">
        <f>VLOOKUP($D1534,Sheet1!$G$5:$I$192,2,TRUE)</f>
        <v>/|)</v>
      </c>
      <c r="P1534" s="23">
        <v>1</v>
      </c>
      <c r="Q1534" s="43" t="str">
        <f>VLOOKUP($D1534,Sheet1!$J$5:$L$192,2,TRUE)</f>
        <v>/|).</v>
      </c>
      <c r="R1534" s="23">
        <f>FLOOR(VLOOKUP($D1534,Sheet1!$M$5:$O$192,3,TRUE),1)</f>
        <v>99</v>
      </c>
      <c r="S1534" s="43" t="str">
        <f>VLOOKUP($D1534,Sheet1!$M$5:$O$192,2,TRUE)</f>
        <v>/|).</v>
      </c>
      <c r="T1534" s="117">
        <f>IF(ABS(D1534-VLOOKUP($D1534,Sheet1!$M$5:$T$192,8,TRUE))&lt;10^-10,"SoCA",D1534-VLOOKUP($D1534,Sheet1!$M$5:$T$192,8,TRUE))</f>
        <v>2.2617353945790342E-2</v>
      </c>
      <c r="U1534" s="117">
        <f>IF(VLOOKUP($D1534,Sheet1!$M$5:$U$192,9,TRUE)=0,"",IF(ABS(D1534-VLOOKUP($D1534,Sheet1!$M$5:$U$192,9,TRUE))&lt;10^-10,"Alt.",D1534-VLOOKUP($D1534,Sheet1!$M$5:$U$192,9,TRUE)))</f>
        <v>-4.3429412566453607E-3</v>
      </c>
      <c r="V1534" s="132">
        <f>$D1534-Sheet1!$M$3*$R1534</f>
        <v>6.6352972301679358E-2</v>
      </c>
      <c r="Z1534" s="6"/>
      <c r="AA1534" s="61"/>
    </row>
    <row r="1535" spans="1:27" ht="13.5">
      <c r="A1535" t="s">
        <v>1411</v>
      </c>
      <c r="B1535">
        <v>268435456</v>
      </c>
      <c r="C1535">
        <v>276054075</v>
      </c>
      <c r="D1535" s="13">
        <f t="shared" si="30"/>
        <v>48.450788248707809</v>
      </c>
      <c r="E1535" s="61">
        <v>17</v>
      </c>
      <c r="F1535" s="65">
        <v>80.153135018202804</v>
      </c>
      <c r="G1535" s="6">
        <v>1327</v>
      </c>
      <c r="H1535" s="6">
        <v>1260</v>
      </c>
      <c r="I1535" s="65">
        <v>7.0167084516951768</v>
      </c>
      <c r="J1535" s="6">
        <f>VLOOKUP($D1535,Sheet1!$A$5:$C$192,3,TRUE)</f>
        <v>9</v>
      </c>
      <c r="K1535" s="42" t="str">
        <f>VLOOKUP($D1535,Sheet1!$A$5:$C$192,2,TRUE)</f>
        <v>/|)</v>
      </c>
      <c r="L1535" s="6">
        <f>FLOOR(VLOOKUP($D1535,Sheet1!$D$5:$F$192,3,TRUE),1)</f>
        <v>20</v>
      </c>
      <c r="M1535" s="42" t="str">
        <f>VLOOKUP($D1535,Sheet1!$D$5:$F$192,2,TRUE)</f>
        <v>/|)</v>
      </c>
      <c r="N1535" s="23">
        <f>FLOOR(VLOOKUP($D1535,Sheet1!$G$5:$I$192,3,TRUE),1)</f>
        <v>25</v>
      </c>
      <c r="O1535" s="42" t="str">
        <f>VLOOKUP($D1535,Sheet1!$G$5:$I$192,2,TRUE)</f>
        <v>/|)</v>
      </c>
      <c r="P1535" s="23">
        <v>1</v>
      </c>
      <c r="Q1535" s="43" t="str">
        <f>VLOOKUP($D1535,Sheet1!$J$5:$L$192,2,TRUE)</f>
        <v>/|).</v>
      </c>
      <c r="R1535" s="23">
        <f>FLOOR(VLOOKUP($D1535,Sheet1!$M$5:$O$192,3,TRUE),1)</f>
        <v>99</v>
      </c>
      <c r="S1535" s="42" t="str">
        <f>VLOOKUP($D1535,Sheet1!$M$5:$O$192,2,TRUE)</f>
        <v>/|).</v>
      </c>
      <c r="T1535" s="117">
        <f>IF(ABS(D1535-VLOOKUP($D1535,Sheet1!$M$5:$T$192,8,TRUE))&lt;10^-10,"SoCA",D1535-VLOOKUP($D1535,Sheet1!$M$5:$T$192,8,TRUE))</f>
        <v>0.10312301784771449</v>
      </c>
      <c r="U1535" s="109">
        <f>IF(VLOOKUP($D1535,Sheet1!$M$5:$U$192,9,TRUE)=0,"",IF(ABS(D1535-VLOOKUP($D1535,Sheet1!$M$5:$U$192,9,TRUE))&lt;10^-10,"Alt.",D1535-VLOOKUP($D1535,Sheet1!$M$5:$U$192,9,TRUE)))</f>
        <v>7.6162722645278791E-2</v>
      </c>
      <c r="V1535" s="132">
        <f>$D1535-Sheet1!$M$3*$R1535</f>
        <v>0.14685863620360351</v>
      </c>
      <c r="Z1535" s="6"/>
      <c r="AA1535" s="61"/>
    </row>
    <row r="1536" spans="1:27" ht="13.5">
      <c r="A1536" t="s">
        <v>462</v>
      </c>
      <c r="B1536">
        <v>177</v>
      </c>
      <c r="C1536">
        <v>182</v>
      </c>
      <c r="D1536" s="13">
        <f t="shared" si="30"/>
        <v>48.226908138838716</v>
      </c>
      <c r="E1536" s="61" t="s">
        <v>1931</v>
      </c>
      <c r="F1536" s="65">
        <v>95.014423353484062</v>
      </c>
      <c r="G1536" s="6">
        <v>327</v>
      </c>
      <c r="H1536" s="6">
        <v>300</v>
      </c>
      <c r="I1536" s="65">
        <v>-3.969506434300536</v>
      </c>
      <c r="J1536" s="6">
        <f>VLOOKUP($D1536,Sheet1!$A$5:$C$192,3,TRUE)</f>
        <v>9</v>
      </c>
      <c r="K1536" s="42" t="str">
        <f>VLOOKUP($D1536,Sheet1!$A$5:$C$192,2,TRUE)</f>
        <v>/|)</v>
      </c>
      <c r="L1536" s="6">
        <f>FLOOR(VLOOKUP($D1536,Sheet1!$D$5:$F$192,3,TRUE),1)</f>
        <v>20</v>
      </c>
      <c r="M1536" s="42" t="str">
        <f>VLOOKUP($D1536,Sheet1!$D$5:$F$192,2,TRUE)</f>
        <v>/|)</v>
      </c>
      <c r="N1536" s="23">
        <f>FLOOR(VLOOKUP($D1536,Sheet1!$G$5:$I$192,3,TRUE),1)</f>
        <v>25</v>
      </c>
      <c r="O1536" s="42" t="str">
        <f>VLOOKUP($D1536,Sheet1!$G$5:$I$192,2,TRUE)</f>
        <v>/|)</v>
      </c>
      <c r="P1536" s="23">
        <v>1</v>
      </c>
      <c r="Q1536" s="43" t="str">
        <f>VLOOKUP($D1536,Sheet1!$J$5:$L$192,2,TRUE)</f>
        <v>/|).</v>
      </c>
      <c r="R1536" s="23">
        <f>FLOOR(VLOOKUP($D1536,Sheet1!$M$5:$O$192,3,TRUE),1)</f>
        <v>99</v>
      </c>
      <c r="S1536" s="42" t="str">
        <f>VLOOKUP($D1536,Sheet1!$M$5:$O$192,2,TRUE)</f>
        <v>/|).</v>
      </c>
      <c r="T1536" s="117">
        <f>IF(ABS(D1536-VLOOKUP($D1536,Sheet1!$M$5:$T$192,8,TRUE))&lt;10^-10,"SoCA",D1536-VLOOKUP($D1536,Sheet1!$M$5:$T$192,8,TRUE))</f>
        <v>-0.1207570920213783</v>
      </c>
      <c r="U1536" s="109">
        <f>IF(VLOOKUP($D1536,Sheet1!$M$5:$U$192,9,TRUE)=0,"",IF(ABS(D1536-VLOOKUP($D1536,Sheet1!$M$5:$U$192,9,TRUE))&lt;10^-10,"Alt.",D1536-VLOOKUP($D1536,Sheet1!$M$5:$U$192,9,TRUE)))</f>
        <v>-0.147717387223814</v>
      </c>
      <c r="V1536" s="132">
        <f>$D1536-Sheet1!$M$3*$R1536</f>
        <v>-7.7021473665489282E-2</v>
      </c>
      <c r="Z1536" s="6"/>
      <c r="AA1536" s="61"/>
    </row>
    <row r="1537" spans="1:27" ht="13.5">
      <c r="A1537" s="6" t="s">
        <v>1320</v>
      </c>
      <c r="B1537" s="6">
        <f>5^5*7^2</f>
        <v>153125</v>
      </c>
      <c r="C1537" s="6">
        <f>2^3*3^9</f>
        <v>157464</v>
      </c>
      <c r="D1537" s="13">
        <f t="shared" si="30"/>
        <v>48.374625526062808</v>
      </c>
      <c r="E1537" s="61">
        <v>7</v>
      </c>
      <c r="F1537" s="65">
        <v>99.518066360272528</v>
      </c>
      <c r="G1537" s="6">
        <v>1229</v>
      </c>
      <c r="H1537" s="6">
        <v>1169</v>
      </c>
      <c r="I1537" s="65">
        <v>6.0213980680043342</v>
      </c>
      <c r="J1537" s="6">
        <f>VLOOKUP($D1537,Sheet1!$A$5:$C$192,3,TRUE)</f>
        <v>9</v>
      </c>
      <c r="K1537" s="42" t="str">
        <f>VLOOKUP($D1537,Sheet1!$A$5:$C$192,2,TRUE)</f>
        <v>/|)</v>
      </c>
      <c r="L1537" s="6">
        <f>FLOOR(VLOOKUP($D1537,Sheet1!$D$5:$F$192,3,TRUE),1)</f>
        <v>20</v>
      </c>
      <c r="M1537" s="42" t="str">
        <f>VLOOKUP($D1537,Sheet1!$D$5:$F$192,2,TRUE)</f>
        <v>/|)</v>
      </c>
      <c r="N1537" s="23">
        <f>FLOOR(VLOOKUP($D1537,Sheet1!$G$5:$I$192,3,TRUE),1)</f>
        <v>25</v>
      </c>
      <c r="O1537" s="42" t="str">
        <f>VLOOKUP($D1537,Sheet1!$G$5:$I$192,2,TRUE)</f>
        <v>/|)</v>
      </c>
      <c r="P1537" s="23">
        <v>1</v>
      </c>
      <c r="Q1537" s="43" t="str">
        <f>VLOOKUP($D1537,Sheet1!$J$5:$L$192,2,TRUE)</f>
        <v>/|).</v>
      </c>
      <c r="R1537" s="23">
        <f>FLOOR(VLOOKUP($D1537,Sheet1!$M$5:$O$192,3,TRUE),1)</f>
        <v>99</v>
      </c>
      <c r="S1537" s="42" t="str">
        <f>VLOOKUP($D1537,Sheet1!$M$5:$O$192,2,TRUE)</f>
        <v>/|).</v>
      </c>
      <c r="T1537" s="117">
        <f>IF(ABS(D1537-VLOOKUP($D1537,Sheet1!$M$5:$T$192,8,TRUE))&lt;10^-10,"SoCA",D1537-VLOOKUP($D1537,Sheet1!$M$5:$T$192,8,TRUE))</f>
        <v>2.6960295202712814E-2</v>
      </c>
      <c r="U1537" s="109" t="str">
        <f>IF(VLOOKUP($D1537,Sheet1!$M$5:$U$192,9,TRUE)=0,"",IF(ABS(D1537-VLOOKUP($D1537,Sheet1!$M$5:$U$192,9,TRUE))&lt;10^-10,"Alt.",D1537-VLOOKUP($D1537,Sheet1!$M$5:$U$192,9,TRUE)))</f>
        <v>Alt.</v>
      </c>
      <c r="V1537" s="132">
        <f>$D1537-Sheet1!$M$3*$R1537</f>
        <v>7.0695913558601831E-2</v>
      </c>
      <c r="Z1537" s="6"/>
      <c r="AA1537" s="61"/>
    </row>
    <row r="1538" spans="1:27" ht="13.5">
      <c r="A1538" t="s">
        <v>1515</v>
      </c>
      <c r="B1538">
        <v>30375</v>
      </c>
      <c r="C1538">
        <v>31232</v>
      </c>
      <c r="D1538" s="13">
        <f t="shared" si="30"/>
        <v>48.168659154022151</v>
      </c>
      <c r="E1538" s="61" t="s">
        <v>1931</v>
      </c>
      <c r="F1538" s="65">
        <v>109.79382038984873</v>
      </c>
      <c r="G1538" s="6">
        <v>1422</v>
      </c>
      <c r="H1538" s="6">
        <v>1364</v>
      </c>
      <c r="I1538" s="65">
        <v>-7.9659198320927747</v>
      </c>
      <c r="J1538" s="6">
        <f>VLOOKUP($D1538,Sheet1!$A$5:$C$192,3,TRUE)</f>
        <v>9</v>
      </c>
      <c r="K1538" s="42" t="str">
        <f>VLOOKUP($D1538,Sheet1!$A$5:$C$192,2,TRUE)</f>
        <v>/|)</v>
      </c>
      <c r="L1538" s="6">
        <f>FLOOR(VLOOKUP($D1538,Sheet1!$D$5:$F$192,3,TRUE),1)</f>
        <v>20</v>
      </c>
      <c r="M1538" s="42" t="str">
        <f>VLOOKUP($D1538,Sheet1!$D$5:$F$192,2,TRUE)</f>
        <v>/|)</v>
      </c>
      <c r="N1538" s="23">
        <f>FLOOR(VLOOKUP($D1538,Sheet1!$G$5:$I$192,3,TRUE),1)</f>
        <v>25</v>
      </c>
      <c r="O1538" s="42" t="str">
        <f>VLOOKUP($D1538,Sheet1!$G$5:$I$192,2,TRUE)</f>
        <v>/|)</v>
      </c>
      <c r="P1538" s="23">
        <v>1</v>
      </c>
      <c r="Q1538" s="43" t="str">
        <f>VLOOKUP($D1538,Sheet1!$J$5:$L$192,2,TRUE)</f>
        <v>/|).</v>
      </c>
      <c r="R1538" s="23">
        <f>FLOOR(VLOOKUP($D1538,Sheet1!$M$5:$O$192,3,TRUE),1)</f>
        <v>99</v>
      </c>
      <c r="S1538" s="42" t="str">
        <f>VLOOKUP($D1538,Sheet1!$M$5:$O$192,2,TRUE)</f>
        <v>/|).</v>
      </c>
      <c r="T1538" s="117">
        <f>IF(ABS(D1538-VLOOKUP($D1538,Sheet1!$M$5:$T$192,8,TRUE))&lt;10^-10,"SoCA",D1538-VLOOKUP($D1538,Sheet1!$M$5:$T$192,8,TRUE))</f>
        <v>-0.17900607683794334</v>
      </c>
      <c r="U1538" s="109">
        <f>IF(VLOOKUP($D1538,Sheet1!$M$5:$U$192,9,TRUE)=0,"",IF(ABS(D1538-VLOOKUP($D1538,Sheet1!$M$5:$U$192,9,TRUE))&lt;10^-10,"Alt.",D1538-VLOOKUP($D1538,Sheet1!$M$5:$U$192,9,TRUE)))</f>
        <v>-0.20596637204037904</v>
      </c>
      <c r="V1538" s="132">
        <f>$D1538-Sheet1!$M$3*$R1538</f>
        <v>-0.13527045848205432</v>
      </c>
      <c r="Z1538" s="6"/>
      <c r="AA1538" s="61"/>
    </row>
    <row r="1539" spans="1:27" ht="13.5">
      <c r="A1539" t="s">
        <v>736</v>
      </c>
      <c r="B1539">
        <v>5570560</v>
      </c>
      <c r="C1539">
        <v>5727753</v>
      </c>
      <c r="D1539" s="13">
        <f t="shared" ref="D1539:D1570" si="31">1200*LN($C1539/$B1539)/LN(2)</f>
        <v>48.176295913185186</v>
      </c>
      <c r="E1539" s="61" t="s">
        <v>1931</v>
      </c>
      <c r="F1539" s="65">
        <v>158.10007682132135</v>
      </c>
      <c r="G1539" s="6">
        <v>597</v>
      </c>
      <c r="H1539" s="6">
        <v>581</v>
      </c>
      <c r="I1539" s="65">
        <v>7.0336099448233291</v>
      </c>
      <c r="J1539" s="6">
        <f>VLOOKUP($D1539,Sheet1!$A$5:$C$192,3,TRUE)</f>
        <v>9</v>
      </c>
      <c r="K1539" s="42" t="str">
        <f>VLOOKUP($D1539,Sheet1!$A$5:$C$192,2,TRUE)</f>
        <v>/|)</v>
      </c>
      <c r="L1539" s="6">
        <f>FLOOR(VLOOKUP($D1539,Sheet1!$D$5:$F$192,3,TRUE),1)</f>
        <v>20</v>
      </c>
      <c r="M1539" s="42" t="str">
        <f>VLOOKUP($D1539,Sheet1!$D$5:$F$192,2,TRUE)</f>
        <v>/|)</v>
      </c>
      <c r="N1539" s="23">
        <f>FLOOR(VLOOKUP($D1539,Sheet1!$G$5:$I$192,3,TRUE),1)</f>
        <v>25</v>
      </c>
      <c r="O1539" s="42" t="str">
        <f>VLOOKUP($D1539,Sheet1!$G$5:$I$192,2,TRUE)</f>
        <v>/|)</v>
      </c>
      <c r="P1539" s="23">
        <v>1</v>
      </c>
      <c r="Q1539" s="43" t="str">
        <f>VLOOKUP($D1539,Sheet1!$J$5:$L$192,2,TRUE)</f>
        <v>/|).</v>
      </c>
      <c r="R1539" s="23">
        <f>FLOOR(VLOOKUP($D1539,Sheet1!$M$5:$O$192,3,TRUE),1)</f>
        <v>99</v>
      </c>
      <c r="S1539" s="42" t="str">
        <f>VLOOKUP($D1539,Sheet1!$M$5:$O$192,2,TRUE)</f>
        <v>/|).</v>
      </c>
      <c r="T1539" s="117">
        <f>IF(ABS(D1539-VLOOKUP($D1539,Sheet1!$M$5:$T$192,8,TRUE))&lt;10^-10,"SoCA",D1539-VLOOKUP($D1539,Sheet1!$M$5:$T$192,8,TRUE))</f>
        <v>-0.17136931767490893</v>
      </c>
      <c r="U1539" s="109">
        <f>IF(VLOOKUP($D1539,Sheet1!$M$5:$U$192,9,TRUE)=0,"",IF(ABS(D1539-VLOOKUP($D1539,Sheet1!$M$5:$U$192,9,TRUE))&lt;10^-10,"Alt.",D1539-VLOOKUP($D1539,Sheet1!$M$5:$U$192,9,TRUE)))</f>
        <v>-0.19832961287734463</v>
      </c>
      <c r="V1539" s="132">
        <f>$D1539-Sheet1!$M$3*$R1539</f>
        <v>-0.12763369931901991</v>
      </c>
      <c r="Z1539" s="6"/>
      <c r="AA1539" s="61"/>
    </row>
    <row r="1540" spans="1:27" ht="13.5">
      <c r="A1540" t="s">
        <v>935</v>
      </c>
      <c r="B1540">
        <v>524288</v>
      </c>
      <c r="C1540">
        <v>539121</v>
      </c>
      <c r="D1540" s="13">
        <f t="shared" si="31"/>
        <v>48.299497659051923</v>
      </c>
      <c r="E1540" s="61">
        <v>31</v>
      </c>
      <c r="F1540" s="65">
        <v>162.07404566021771</v>
      </c>
      <c r="G1540" s="6">
        <v>844</v>
      </c>
      <c r="H1540" s="6">
        <v>783</v>
      </c>
      <c r="I1540" s="65">
        <v>-1.973976035518084</v>
      </c>
      <c r="J1540" s="6">
        <f>VLOOKUP($D1540,Sheet1!$A$5:$C$192,3,TRUE)</f>
        <v>9</v>
      </c>
      <c r="K1540" s="42" t="str">
        <f>VLOOKUP($D1540,Sheet1!$A$5:$C$192,2,TRUE)</f>
        <v>/|)</v>
      </c>
      <c r="L1540" s="6">
        <f>FLOOR(VLOOKUP($D1540,Sheet1!$D$5:$F$192,3,TRUE),1)</f>
        <v>20</v>
      </c>
      <c r="M1540" s="42" t="str">
        <f>VLOOKUP($D1540,Sheet1!$D$5:$F$192,2,TRUE)</f>
        <v>/|)</v>
      </c>
      <c r="N1540" s="23">
        <f>FLOOR(VLOOKUP($D1540,Sheet1!$G$5:$I$192,3,TRUE),1)</f>
        <v>25</v>
      </c>
      <c r="O1540" s="42" t="str">
        <f>VLOOKUP($D1540,Sheet1!$G$5:$I$192,2,TRUE)</f>
        <v>/|)</v>
      </c>
      <c r="P1540" s="23">
        <v>1</v>
      </c>
      <c r="Q1540" s="43" t="str">
        <f>VLOOKUP($D1540,Sheet1!$J$5:$L$192,2,TRUE)</f>
        <v>/|).</v>
      </c>
      <c r="R1540" s="23">
        <f>FLOOR(VLOOKUP($D1540,Sheet1!$M$5:$O$192,3,TRUE),1)</f>
        <v>99</v>
      </c>
      <c r="S1540" s="42" t="str">
        <f>VLOOKUP($D1540,Sheet1!$M$5:$O$192,2,TRUE)</f>
        <v>/|).</v>
      </c>
      <c r="T1540" s="117">
        <f>IF(ABS(D1540-VLOOKUP($D1540,Sheet1!$M$5:$T$192,8,TRUE))&lt;10^-10,"SoCA",D1540-VLOOKUP($D1540,Sheet1!$M$5:$T$192,8,TRUE))</f>
        <v>-4.8167571808171772E-2</v>
      </c>
      <c r="U1540" s="109">
        <f>IF(VLOOKUP($D1540,Sheet1!$M$5:$U$192,9,TRUE)=0,"",IF(ABS(D1540-VLOOKUP($D1540,Sheet1!$M$5:$U$192,9,TRUE))&lt;10^-10,"Alt.",D1540-VLOOKUP($D1540,Sheet1!$M$5:$U$192,9,TRUE)))</f>
        <v>-7.5127867010607474E-2</v>
      </c>
      <c r="V1540" s="132">
        <f>$D1540-Sheet1!$M$3*$R1540</f>
        <v>-4.4319534522827553E-3</v>
      </c>
      <c r="Z1540" s="6"/>
      <c r="AA1540" s="61"/>
    </row>
    <row r="1541" spans="1:27" ht="13.5">
      <c r="A1541" t="s">
        <v>1020</v>
      </c>
      <c r="B1541">
        <v>5000</v>
      </c>
      <c r="C1541">
        <v>5141</v>
      </c>
      <c r="D1541" s="13">
        <f t="shared" si="31"/>
        <v>48.14510064105297</v>
      </c>
      <c r="E1541" s="61" t="s">
        <v>1931</v>
      </c>
      <c r="F1541" s="65">
        <v>8257.8079325264116</v>
      </c>
      <c r="G1541" s="6">
        <v>939</v>
      </c>
      <c r="H1541" s="6">
        <v>868</v>
      </c>
      <c r="I1541" s="65">
        <v>-2.9644692486209268</v>
      </c>
      <c r="J1541" s="6">
        <f>VLOOKUP($D1541,Sheet1!$A$5:$C$192,3,TRUE)</f>
        <v>9</v>
      </c>
      <c r="K1541" s="42" t="str">
        <f>VLOOKUP($D1541,Sheet1!$A$5:$C$192,2,TRUE)</f>
        <v>/|)</v>
      </c>
      <c r="L1541" s="6">
        <f>FLOOR(VLOOKUP($D1541,Sheet1!$D$5:$F$192,3,TRUE),1)</f>
        <v>20</v>
      </c>
      <c r="M1541" s="42" t="str">
        <f>VLOOKUP($D1541,Sheet1!$D$5:$F$192,2,TRUE)</f>
        <v>/|)</v>
      </c>
      <c r="N1541" s="23">
        <f>FLOOR(VLOOKUP($D1541,Sheet1!$G$5:$I$192,3,TRUE),1)</f>
        <v>25</v>
      </c>
      <c r="O1541" s="42" t="str">
        <f>VLOOKUP($D1541,Sheet1!$G$5:$I$192,2,TRUE)</f>
        <v>/|)</v>
      </c>
      <c r="P1541" s="23">
        <v>1</v>
      </c>
      <c r="Q1541" s="43" t="str">
        <f>VLOOKUP($D1541,Sheet1!$J$5:$L$192,2,TRUE)</f>
        <v>/|).</v>
      </c>
      <c r="R1541" s="23">
        <f>FLOOR(VLOOKUP($D1541,Sheet1!$M$5:$O$192,3,TRUE),1)</f>
        <v>99</v>
      </c>
      <c r="S1541" s="42" t="str">
        <f>VLOOKUP($D1541,Sheet1!$M$5:$O$192,2,TRUE)</f>
        <v>/|).</v>
      </c>
      <c r="T1541" s="117">
        <f>IF(ABS(D1541-VLOOKUP($D1541,Sheet1!$M$5:$T$192,8,TRUE))&lt;10^-10,"SoCA",D1541-VLOOKUP($D1541,Sheet1!$M$5:$T$192,8,TRUE))</f>
        <v>-0.20256458980712466</v>
      </c>
      <c r="U1541" s="109">
        <f>IF(VLOOKUP($D1541,Sheet1!$M$5:$U$192,9,TRUE)=0,"",IF(ABS(D1541-VLOOKUP($D1541,Sheet1!$M$5:$U$192,9,TRUE))&lt;10^-10,"Alt.",D1541-VLOOKUP($D1541,Sheet1!$M$5:$U$192,9,TRUE)))</f>
        <v>-0.22952488500956036</v>
      </c>
      <c r="V1541" s="132">
        <f>$D1541-Sheet1!$M$3*$R1541</f>
        <v>-0.15882897145123565</v>
      </c>
      <c r="Z1541" s="6"/>
      <c r="AA1541" s="61"/>
    </row>
    <row r="1542" spans="1:27" ht="13.5">
      <c r="A1542" t="s">
        <v>1321</v>
      </c>
      <c r="B1542">
        <v>5368709120</v>
      </c>
      <c r="C1542">
        <v>5520156399</v>
      </c>
      <c r="D1542" s="13">
        <f t="shared" si="31"/>
        <v>48.160681945696467</v>
      </c>
      <c r="E1542" s="61" t="s">
        <v>1931</v>
      </c>
      <c r="F1542" s="65">
        <v>280478.01145864307</v>
      </c>
      <c r="G1542" s="6">
        <v>1230</v>
      </c>
      <c r="H1542" s="6">
        <v>1170</v>
      </c>
      <c r="I1542" s="65">
        <v>6.0345713536863901</v>
      </c>
      <c r="J1542" s="6">
        <f>VLOOKUP($D1542,Sheet1!$A$5:$C$192,3,TRUE)</f>
        <v>9</v>
      </c>
      <c r="K1542" s="42" t="str">
        <f>VLOOKUP($D1542,Sheet1!$A$5:$C$192,2,TRUE)</f>
        <v>/|)</v>
      </c>
      <c r="L1542" s="6">
        <f>FLOOR(VLOOKUP($D1542,Sheet1!$D$5:$F$192,3,TRUE),1)</f>
        <v>20</v>
      </c>
      <c r="M1542" s="42" t="str">
        <f>VLOOKUP($D1542,Sheet1!$D$5:$F$192,2,TRUE)</f>
        <v>/|)</v>
      </c>
      <c r="N1542" s="23">
        <f>FLOOR(VLOOKUP($D1542,Sheet1!$G$5:$I$192,3,TRUE),1)</f>
        <v>25</v>
      </c>
      <c r="O1542" s="42" t="str">
        <f>VLOOKUP($D1542,Sheet1!$G$5:$I$192,2,TRUE)</f>
        <v>/|)</v>
      </c>
      <c r="P1542" s="23">
        <v>1</v>
      </c>
      <c r="Q1542" s="43" t="str">
        <f>VLOOKUP($D1542,Sheet1!$J$5:$L$192,2,TRUE)</f>
        <v>/|).</v>
      </c>
      <c r="R1542" s="23">
        <f>FLOOR(VLOOKUP($D1542,Sheet1!$M$5:$O$192,3,TRUE),1)</f>
        <v>99</v>
      </c>
      <c r="S1542" s="42" t="str">
        <f>VLOOKUP($D1542,Sheet1!$M$5:$O$192,2,TRUE)</f>
        <v>/|).</v>
      </c>
      <c r="T1542" s="117">
        <f>IF(ABS(D1542-VLOOKUP($D1542,Sheet1!$M$5:$T$192,8,TRUE))&lt;10^-10,"SoCA",D1542-VLOOKUP($D1542,Sheet1!$M$5:$T$192,8,TRUE))</f>
        <v>-0.1869832851636275</v>
      </c>
      <c r="U1542" s="109">
        <f>IF(VLOOKUP($D1542,Sheet1!$M$5:$U$192,9,TRUE)=0,"",IF(ABS(D1542-VLOOKUP($D1542,Sheet1!$M$5:$U$192,9,TRUE))&lt;10^-10,"Alt.",D1542-VLOOKUP($D1542,Sheet1!$M$5:$U$192,9,TRUE)))</f>
        <v>-0.2139435803660632</v>
      </c>
      <c r="V1542" s="132">
        <f>$D1542-Sheet1!$M$3*$R1542</f>
        <v>-0.14324766680773848</v>
      </c>
      <c r="Z1542" s="6"/>
      <c r="AA1542" s="61"/>
    </row>
    <row r="1543" spans="1:27" ht="13.5">
      <c r="A1543" s="80" t="s">
        <v>192</v>
      </c>
      <c r="B1543" s="80">
        <f>5*7</f>
        <v>35</v>
      </c>
      <c r="C1543" s="80">
        <f>2^2*3^2</f>
        <v>36</v>
      </c>
      <c r="D1543" s="51">
        <f t="shared" si="31"/>
        <v>48.770381396814919</v>
      </c>
      <c r="E1543" s="61">
        <v>7</v>
      </c>
      <c r="F1543" s="65">
        <v>16.843766653681964</v>
      </c>
      <c r="G1543" s="6">
        <v>11</v>
      </c>
      <c r="H1543" s="6">
        <v>10</v>
      </c>
      <c r="I1543" s="65">
        <v>-1.0029700627750087</v>
      </c>
      <c r="J1543" s="81">
        <f>VLOOKUP($D1543,Sheet1!$A$5:$C$192,3,TRUE)</f>
        <v>9</v>
      </c>
      <c r="K1543" s="82" t="str">
        <f>VLOOKUP($D1543,Sheet1!$A$5:$C$192,2,TRUE)</f>
        <v>/|)</v>
      </c>
      <c r="L1543" s="81">
        <f>FLOOR(VLOOKUP($D1543,Sheet1!$D$5:$F$192,3,TRUE),1)</f>
        <v>20</v>
      </c>
      <c r="M1543" s="82" t="str">
        <f>VLOOKUP($D1543,Sheet1!$D$5:$F$192,2,TRUE)</f>
        <v>/|)</v>
      </c>
      <c r="N1543" s="81">
        <f>FLOOR(VLOOKUP($D1543,Sheet1!$G$5:$I$192,3,TRUE),1)</f>
        <v>25</v>
      </c>
      <c r="O1543" s="82" t="str">
        <f>VLOOKUP($D1543,Sheet1!$G$5:$I$192,2,TRUE)</f>
        <v>/|)</v>
      </c>
      <c r="P1543" s="81">
        <v>1</v>
      </c>
      <c r="Q1543" s="82" t="str">
        <f>VLOOKUP($D1543,Sheet1!$J$5:$L$192,2,TRUE)</f>
        <v>/|)</v>
      </c>
      <c r="R1543" s="81">
        <f>FLOOR(VLOOKUP($D1543,Sheet1!$M$5:$O$192,3,TRUE),1)</f>
        <v>100</v>
      </c>
      <c r="S1543" s="82" t="str">
        <f>VLOOKUP($D1543,Sheet1!$M$5:$O$192,2,TRUE)</f>
        <v>/|)</v>
      </c>
      <c r="T1543" s="111" t="str">
        <f>IF(ABS(D1543-VLOOKUP($D1543,Sheet1!$M$5:$T$192,8,TRUE))&lt;10^-10,"SoCA",D1543-VLOOKUP($D1543,Sheet1!$M$5:$T$192,8,TRUE))</f>
        <v>SoCA</v>
      </c>
      <c r="U1543" s="110" t="str">
        <f>IF(VLOOKUP($D1543,Sheet1!$M$5:$U$192,9,TRUE)=0,"",IF(ABS(D1543-VLOOKUP($D1543,Sheet1!$M$5:$U$192,9,TRUE))&lt;10^-10,"Alt.",D1543-VLOOKUP($D1543,Sheet1!$M$5:$U$192,9,TRUE)))</f>
        <v/>
      </c>
      <c r="V1543" s="135">
        <f>$D1543-Sheet1!$M$3*$R1543</f>
        <v>-2.1466696623676285E-2</v>
      </c>
      <c r="Z1543" s="6"/>
      <c r="AA1543" s="61"/>
    </row>
    <row r="1544" spans="1:27" ht="13.5">
      <c r="A1544" s="23" t="s">
        <v>361</v>
      </c>
      <c r="B1544" s="6">
        <f>3^2*11^2</f>
        <v>1089</v>
      </c>
      <c r="C1544" s="6">
        <f>2^5*5*7</f>
        <v>1120</v>
      </c>
      <c r="D1544" s="13">
        <f t="shared" si="31"/>
        <v>48.593733873671674</v>
      </c>
      <c r="E1544" s="61">
        <v>11</v>
      </c>
      <c r="F1544" s="65">
        <v>34.354602812620442</v>
      </c>
      <c r="G1544" s="6">
        <v>205</v>
      </c>
      <c r="H1544" s="6">
        <v>196</v>
      </c>
      <c r="I1544" s="65">
        <v>-4.9920932312131132</v>
      </c>
      <c r="J1544" s="6">
        <f>VLOOKUP($D1544,Sheet1!$A$5:$C$192,3,TRUE)</f>
        <v>9</v>
      </c>
      <c r="K1544" s="42" t="str">
        <f>VLOOKUP($D1544,Sheet1!$A$5:$C$192,2,TRUE)</f>
        <v>/|)</v>
      </c>
      <c r="L1544" s="6">
        <f>FLOOR(VLOOKUP($D1544,Sheet1!$D$5:$F$192,3,TRUE),1)</f>
        <v>20</v>
      </c>
      <c r="M1544" s="42" t="str">
        <f>VLOOKUP($D1544,Sheet1!$D$5:$F$192,2,TRUE)</f>
        <v>/|)</v>
      </c>
      <c r="N1544" s="23">
        <f>FLOOR(VLOOKUP($D1544,Sheet1!$G$5:$I$192,3,TRUE),1)</f>
        <v>25</v>
      </c>
      <c r="O1544" s="42" t="str">
        <f>VLOOKUP($D1544,Sheet1!$G$5:$I$192,2,TRUE)</f>
        <v>/|)</v>
      </c>
      <c r="P1544" s="23">
        <v>1</v>
      </c>
      <c r="Q1544" s="43" t="str">
        <f>VLOOKUP($D1544,Sheet1!$J$5:$L$192,2,TRUE)</f>
        <v>/|)</v>
      </c>
      <c r="R1544" s="23">
        <f>FLOOR(VLOOKUP($D1544,Sheet1!$M$5:$O$192,3,TRUE),1)</f>
        <v>100</v>
      </c>
      <c r="S1544" s="42" t="str">
        <f>VLOOKUP($D1544,Sheet1!$M$5:$O$192,2,TRUE)</f>
        <v>/|)</v>
      </c>
      <c r="T1544" s="117">
        <f>IF(ABS(D1544-VLOOKUP($D1544,Sheet1!$M$5:$T$192,8,TRUE))&lt;10^-10,"SoCA",D1544-VLOOKUP($D1544,Sheet1!$M$5:$T$192,8,TRUE))</f>
        <v>-0.17664752314324517</v>
      </c>
      <c r="U1544" s="109" t="str">
        <f>IF(VLOOKUP($D1544,Sheet1!$M$5:$U$192,9,TRUE)=0,"",IF(ABS(D1544-VLOOKUP($D1544,Sheet1!$M$5:$U$192,9,TRUE))&lt;10^-10,"Alt.",D1544-VLOOKUP($D1544,Sheet1!$M$5:$U$192,9,TRUE)))</f>
        <v/>
      </c>
      <c r="V1544" s="132">
        <f>$D1544-Sheet1!$M$3*$R1544</f>
        <v>-0.19811421976692145</v>
      </c>
      <c r="Z1544" s="6"/>
      <c r="AA1544" s="61"/>
    </row>
    <row r="1545" spans="1:27" ht="13.5">
      <c r="A1545" s="23" t="s">
        <v>1413</v>
      </c>
      <c r="B1545" s="23">
        <f>3^4*11^2*13</f>
        <v>127413</v>
      </c>
      <c r="C1545" s="23">
        <f>2^17</f>
        <v>131072</v>
      </c>
      <c r="D1545" s="13">
        <f t="shared" si="31"/>
        <v>49.016450039626157</v>
      </c>
      <c r="E1545" s="61">
        <v>13</v>
      </c>
      <c r="F1545" s="65">
        <v>57.452370714526744</v>
      </c>
      <c r="G1545" s="6">
        <v>1329</v>
      </c>
      <c r="H1545" s="6">
        <v>1262</v>
      </c>
      <c r="I1545" s="65">
        <v>-7.0181214055897705</v>
      </c>
      <c r="J1545" s="6">
        <f>VLOOKUP($D1545,Sheet1!$A$5:$C$192,3,TRUE)</f>
        <v>9</v>
      </c>
      <c r="K1545" s="42" t="str">
        <f>VLOOKUP($D1545,Sheet1!$A$5:$C$192,2,TRUE)</f>
        <v>/|)</v>
      </c>
      <c r="L1545" s="6">
        <f>FLOOR(VLOOKUP($D1545,Sheet1!$D$5:$F$192,3,TRUE),1)</f>
        <v>20</v>
      </c>
      <c r="M1545" s="42" t="str">
        <f>VLOOKUP($D1545,Sheet1!$D$5:$F$192,2,TRUE)</f>
        <v>/|)</v>
      </c>
      <c r="N1545" s="23">
        <f>FLOOR(VLOOKUP($D1545,Sheet1!$G$5:$I$192,3,TRUE),1)</f>
        <v>25</v>
      </c>
      <c r="O1545" s="42" t="str">
        <f>VLOOKUP($D1545,Sheet1!$G$5:$I$192,2,TRUE)</f>
        <v>/|)</v>
      </c>
      <c r="P1545" s="23">
        <v>1</v>
      </c>
      <c r="Q1545" s="43" t="str">
        <f>VLOOKUP($D1545,Sheet1!$J$5:$L$192,2,TRUE)</f>
        <v>/|)</v>
      </c>
      <c r="R1545" s="23">
        <f>FLOOR(VLOOKUP($D1545,Sheet1!$M$5:$O$192,3,TRUE),1)</f>
        <v>100</v>
      </c>
      <c r="S1545" s="43" t="str">
        <f>VLOOKUP($D1545,Sheet1!$M$5:$O$192,2,TRUE)</f>
        <v>/|)</v>
      </c>
      <c r="T1545" s="117">
        <f>IF(ABS(D1545-VLOOKUP($D1545,Sheet1!$M$5:$T$192,8,TRUE))&lt;10^-10,"SoCA",D1545-VLOOKUP($D1545,Sheet1!$M$5:$T$192,8,TRUE))</f>
        <v>0.24606864281123819</v>
      </c>
      <c r="U1545" s="117" t="str">
        <f>IF(VLOOKUP($D1545,Sheet1!$M$5:$U$192,9,TRUE)=0,"",IF(ABS(D1545-VLOOKUP($D1545,Sheet1!$M$5:$U$192,9,TRUE))&lt;10^-10,"Alt.",D1545-VLOOKUP($D1545,Sheet1!$M$5:$U$192,9,TRUE)))</f>
        <v/>
      </c>
      <c r="V1545" s="132">
        <f>$D1545-Sheet1!$M$3*$R1545</f>
        <v>0.22460194618756191</v>
      </c>
      <c r="Z1545" s="6"/>
      <c r="AA1545" s="61"/>
    </row>
    <row r="1546" spans="1:27" ht="13.5">
      <c r="A1546" t="s">
        <v>823</v>
      </c>
      <c r="B1546">
        <v>8959</v>
      </c>
      <c r="C1546">
        <v>9216</v>
      </c>
      <c r="D1546" s="13">
        <f t="shared" si="31"/>
        <v>48.963610265709839</v>
      </c>
      <c r="E1546" s="61">
        <v>31</v>
      </c>
      <c r="F1546" s="65">
        <v>104.06992420896944</v>
      </c>
      <c r="G1546" s="6">
        <v>752</v>
      </c>
      <c r="H1546" s="6">
        <v>670</v>
      </c>
      <c r="I1546" s="65">
        <v>-1.0148678682039654</v>
      </c>
      <c r="J1546" s="6">
        <f>VLOOKUP($D1546,Sheet1!$A$5:$C$192,3,TRUE)</f>
        <v>9</v>
      </c>
      <c r="K1546" s="42" t="str">
        <f>VLOOKUP($D1546,Sheet1!$A$5:$C$192,2,TRUE)</f>
        <v>/|)</v>
      </c>
      <c r="L1546" s="6">
        <f>FLOOR(VLOOKUP($D1546,Sheet1!$D$5:$F$192,3,TRUE),1)</f>
        <v>20</v>
      </c>
      <c r="M1546" s="42" t="str">
        <f>VLOOKUP($D1546,Sheet1!$D$5:$F$192,2,TRUE)</f>
        <v>/|)</v>
      </c>
      <c r="N1546" s="23">
        <f>FLOOR(VLOOKUP($D1546,Sheet1!$G$5:$I$192,3,TRUE),1)</f>
        <v>25</v>
      </c>
      <c r="O1546" s="42" t="str">
        <f>VLOOKUP($D1546,Sheet1!$G$5:$I$192,2,TRUE)</f>
        <v>/|)</v>
      </c>
      <c r="P1546" s="23">
        <v>1</v>
      </c>
      <c r="Q1546" s="43" t="str">
        <f>VLOOKUP($D1546,Sheet1!$J$5:$L$192,2,TRUE)</f>
        <v>/|)</v>
      </c>
      <c r="R1546" s="23">
        <f>FLOOR(VLOOKUP($D1546,Sheet1!$M$5:$O$192,3,TRUE),1)</f>
        <v>100</v>
      </c>
      <c r="S1546" s="42" t="str">
        <f>VLOOKUP($D1546,Sheet1!$M$5:$O$192,2,TRUE)</f>
        <v>/|)</v>
      </c>
      <c r="T1546" s="117">
        <f>IF(ABS(D1546-VLOOKUP($D1546,Sheet1!$M$5:$T$192,8,TRUE))&lt;10^-10,"SoCA",D1546-VLOOKUP($D1546,Sheet1!$M$5:$T$192,8,TRUE))</f>
        <v>0.19322886889491997</v>
      </c>
      <c r="U1546" s="109" t="str">
        <f>IF(VLOOKUP($D1546,Sheet1!$M$5:$U$192,9,TRUE)=0,"",IF(ABS(D1546-VLOOKUP($D1546,Sheet1!$M$5:$U$192,9,TRUE))&lt;10^-10,"Alt.",D1546-VLOOKUP($D1546,Sheet1!$M$5:$U$192,9,TRUE)))</f>
        <v/>
      </c>
      <c r="V1546" s="132">
        <f>$D1546-Sheet1!$M$3*$R1546</f>
        <v>0.17176217227124368</v>
      </c>
      <c r="Z1546" s="6"/>
      <c r="AA1546" s="61"/>
    </row>
    <row r="1547" spans="1:27" ht="13.5">
      <c r="A1547" s="6" t="s">
        <v>1916</v>
      </c>
      <c r="B1547">
        <v>5097897</v>
      </c>
      <c r="C1547">
        <v>5242880</v>
      </c>
      <c r="D1547" s="13">
        <f t="shared" si="31"/>
        <v>48.548760852483568</v>
      </c>
      <c r="E1547" s="61">
        <v>37</v>
      </c>
      <c r="F1547" s="65">
        <v>108.51600772312347</v>
      </c>
      <c r="G1547" s="59">
        <v>1756</v>
      </c>
      <c r="H1547" s="63">
        <v>1000121</v>
      </c>
      <c r="I1547" s="65">
        <v>-11.989324078452926</v>
      </c>
      <c r="J1547" s="6">
        <f>VLOOKUP($D1547,Sheet1!$A$5:$C$192,3,TRUE)</f>
        <v>9</v>
      </c>
      <c r="K1547" s="42" t="str">
        <f>VLOOKUP($D1547,Sheet1!$A$5:$C$192,2,TRUE)</f>
        <v>/|)</v>
      </c>
      <c r="L1547" s="6">
        <f>FLOOR(VLOOKUP($D1547,Sheet1!$D$5:$F$192,3,TRUE),1)</f>
        <v>20</v>
      </c>
      <c r="M1547" s="42" t="str">
        <f>VLOOKUP($D1547,Sheet1!$D$5:$F$192,2,TRUE)</f>
        <v>/|)</v>
      </c>
      <c r="N1547" s="23">
        <f>FLOOR(VLOOKUP($D1547,Sheet1!$G$5:$I$192,3,TRUE),1)</f>
        <v>25</v>
      </c>
      <c r="O1547" s="42" t="str">
        <f>VLOOKUP($D1547,Sheet1!$G$5:$I$192,2,TRUE)</f>
        <v>/|)</v>
      </c>
      <c r="P1547" s="23">
        <v>1</v>
      </c>
      <c r="Q1547" s="43" t="str">
        <f>VLOOKUP($D1547,Sheet1!$J$5:$L$192,2,TRUE)</f>
        <v>/|)</v>
      </c>
      <c r="R1547" s="23">
        <f>FLOOR(VLOOKUP($D1547,Sheet1!$M$5:$O$192,3,TRUE),1)</f>
        <v>100</v>
      </c>
      <c r="S1547" s="42" t="str">
        <f>VLOOKUP($D1547,Sheet1!$M$5:$O$192,2,TRUE)</f>
        <v>/|)</v>
      </c>
      <c r="T1547" s="117">
        <f>IF(ABS(D1547-VLOOKUP($D1547,Sheet1!$M$5:$T$192,8,TRUE))&lt;10^-10,"SoCA",D1547-VLOOKUP($D1547,Sheet1!$M$5:$T$192,8,TRUE))</f>
        <v>-0.22162054433135125</v>
      </c>
      <c r="U1547" s="109" t="str">
        <f>IF(VLOOKUP($D1547,Sheet1!$M$5:$U$192,9,TRUE)=0,"",IF(ABS(D1547-VLOOKUP($D1547,Sheet1!$M$5:$U$192,9,TRUE))&lt;10^-10,"Alt.",D1547-VLOOKUP($D1547,Sheet1!$M$5:$U$192,9,TRUE)))</f>
        <v/>
      </c>
      <c r="V1547" s="132">
        <f>$D1547-Sheet1!$M$3*$R1547</f>
        <v>-0.24308724095502754</v>
      </c>
      <c r="Z1547" s="6"/>
      <c r="AA1547" s="61"/>
    </row>
    <row r="1548" spans="1:27" ht="13.5">
      <c r="A1548" t="s">
        <v>1675</v>
      </c>
      <c r="B1548">
        <v>133407</v>
      </c>
      <c r="C1548">
        <v>137216</v>
      </c>
      <c r="D1548" s="13">
        <f t="shared" si="31"/>
        <v>48.737217416151488</v>
      </c>
      <c r="E1548" s="61" t="s">
        <v>1931</v>
      </c>
      <c r="F1548" s="65">
        <v>143.49725876161625</v>
      </c>
      <c r="G1548" s="6">
        <v>1445</v>
      </c>
      <c r="H1548" s="6">
        <v>1524</v>
      </c>
      <c r="I1548" s="65">
        <v>-10.000928035662602</v>
      </c>
      <c r="J1548" s="6">
        <f>VLOOKUP($D1548,Sheet1!$A$5:$C$192,3,TRUE)</f>
        <v>9</v>
      </c>
      <c r="K1548" s="42" t="str">
        <f>VLOOKUP($D1548,Sheet1!$A$5:$C$192,2,TRUE)</f>
        <v>/|)</v>
      </c>
      <c r="L1548" s="6">
        <f>FLOOR(VLOOKUP($D1548,Sheet1!$D$5:$F$192,3,TRUE),1)</f>
        <v>20</v>
      </c>
      <c r="M1548" s="42" t="str">
        <f>VLOOKUP($D1548,Sheet1!$D$5:$F$192,2,TRUE)</f>
        <v>/|)</v>
      </c>
      <c r="N1548" s="23">
        <f>FLOOR(VLOOKUP($D1548,Sheet1!$G$5:$I$192,3,TRUE),1)</f>
        <v>25</v>
      </c>
      <c r="O1548" s="42" t="str">
        <f>VLOOKUP($D1548,Sheet1!$G$5:$I$192,2,TRUE)</f>
        <v>/|)</v>
      </c>
      <c r="P1548" s="23">
        <v>1</v>
      </c>
      <c r="Q1548" s="43" t="str">
        <f>VLOOKUP($D1548,Sheet1!$J$5:$L$192,2,TRUE)</f>
        <v>/|)</v>
      </c>
      <c r="R1548" s="23">
        <f>FLOOR(VLOOKUP($D1548,Sheet1!$M$5:$O$192,3,TRUE),1)</f>
        <v>100</v>
      </c>
      <c r="S1548" s="42" t="str">
        <f>VLOOKUP($D1548,Sheet1!$M$5:$O$192,2,TRUE)</f>
        <v>/|)</v>
      </c>
      <c r="T1548" s="117">
        <f>IF(ABS(D1548-VLOOKUP($D1548,Sheet1!$M$5:$T$192,8,TRUE))&lt;10^-10,"SoCA",D1548-VLOOKUP($D1548,Sheet1!$M$5:$T$192,8,TRUE))</f>
        <v>-3.3163980663431403E-2</v>
      </c>
      <c r="U1548" s="109" t="str">
        <f>IF(VLOOKUP($D1548,Sheet1!$M$5:$U$192,9,TRUE)=0,"",IF(ABS(D1548-VLOOKUP($D1548,Sheet1!$M$5:$U$192,9,TRUE))&lt;10^-10,"Alt.",D1548-VLOOKUP($D1548,Sheet1!$M$5:$U$192,9,TRUE)))</f>
        <v/>
      </c>
      <c r="V1548" s="132">
        <f>$D1548-Sheet1!$M$3*$R1548</f>
        <v>-5.4630677287107687E-2</v>
      </c>
      <c r="Z1548" s="6"/>
      <c r="AA1548" s="61"/>
    </row>
    <row r="1549" spans="1:27" ht="13.5">
      <c r="A1549" t="s">
        <v>1220</v>
      </c>
      <c r="B1549">
        <v>223232</v>
      </c>
      <c r="C1549">
        <v>229635</v>
      </c>
      <c r="D1549" s="13">
        <f t="shared" si="31"/>
        <v>48.958437524747545</v>
      </c>
      <c r="E1549" s="61" t="s">
        <v>1931</v>
      </c>
      <c r="F1549" s="65">
        <v>149.02380127010846</v>
      </c>
      <c r="G1549" s="6">
        <v>1128</v>
      </c>
      <c r="H1549" s="6">
        <v>1069</v>
      </c>
      <c r="I1549" s="65">
        <v>4.9854506363024047</v>
      </c>
      <c r="J1549" s="6">
        <f>VLOOKUP($D1549,Sheet1!$A$5:$C$192,3,TRUE)</f>
        <v>9</v>
      </c>
      <c r="K1549" s="42" t="str">
        <f>VLOOKUP($D1549,Sheet1!$A$5:$C$192,2,TRUE)</f>
        <v>/|)</v>
      </c>
      <c r="L1549" s="6">
        <f>FLOOR(VLOOKUP($D1549,Sheet1!$D$5:$F$192,3,TRUE),1)</f>
        <v>20</v>
      </c>
      <c r="M1549" s="42" t="str">
        <f>VLOOKUP($D1549,Sheet1!$D$5:$F$192,2,TRUE)</f>
        <v>/|)</v>
      </c>
      <c r="N1549" s="23">
        <f>FLOOR(VLOOKUP($D1549,Sheet1!$G$5:$I$192,3,TRUE),1)</f>
        <v>25</v>
      </c>
      <c r="O1549" s="42" t="str">
        <f>VLOOKUP($D1549,Sheet1!$G$5:$I$192,2,TRUE)</f>
        <v>/|)</v>
      </c>
      <c r="P1549" s="23">
        <v>1</v>
      </c>
      <c r="Q1549" s="43" t="str">
        <f>VLOOKUP($D1549,Sheet1!$J$5:$L$192,2,TRUE)</f>
        <v>/|)</v>
      </c>
      <c r="R1549" s="23">
        <f>FLOOR(VLOOKUP($D1549,Sheet1!$M$5:$O$192,3,TRUE),1)</f>
        <v>100</v>
      </c>
      <c r="S1549" s="42" t="str">
        <f>VLOOKUP($D1549,Sheet1!$M$5:$O$192,2,TRUE)</f>
        <v>/|)</v>
      </c>
      <c r="T1549" s="117">
        <f>IF(ABS(D1549-VLOOKUP($D1549,Sheet1!$M$5:$T$192,8,TRUE))&lt;10^-10,"SoCA",D1549-VLOOKUP($D1549,Sheet1!$M$5:$T$192,8,TRUE))</f>
        <v>0.18805612793262583</v>
      </c>
      <c r="U1549" s="109" t="str">
        <f>IF(VLOOKUP($D1549,Sheet1!$M$5:$U$192,9,TRUE)=0,"",IF(ABS(D1549-VLOOKUP($D1549,Sheet1!$M$5:$U$192,9,TRUE))&lt;10^-10,"Alt.",D1549-VLOOKUP($D1549,Sheet1!$M$5:$U$192,9,TRUE)))</f>
        <v/>
      </c>
      <c r="V1549" s="132">
        <f>$D1549-Sheet1!$M$3*$R1549</f>
        <v>0.16658943130894954</v>
      </c>
      <c r="Z1549" s="6"/>
      <c r="AA1549" s="61"/>
    </row>
    <row r="1550" spans="1:27" ht="13.5">
      <c r="A1550" t="s">
        <v>1025</v>
      </c>
      <c r="B1550">
        <v>47488</v>
      </c>
      <c r="C1550">
        <v>48843</v>
      </c>
      <c r="D1550" s="13">
        <f t="shared" si="31"/>
        <v>48.706581796687473</v>
      </c>
      <c r="E1550" s="61" t="s">
        <v>1931</v>
      </c>
      <c r="F1550" s="65">
        <v>153.36656062971846</v>
      </c>
      <c r="G1550" s="6">
        <v>944</v>
      </c>
      <c r="H1550" s="6">
        <v>873</v>
      </c>
      <c r="I1550" s="65">
        <v>3.0009583110394362</v>
      </c>
      <c r="J1550" s="6">
        <f>VLOOKUP($D1550,Sheet1!$A$5:$C$192,3,TRUE)</f>
        <v>9</v>
      </c>
      <c r="K1550" s="42" t="str">
        <f>VLOOKUP($D1550,Sheet1!$A$5:$C$192,2,TRUE)</f>
        <v>/|)</v>
      </c>
      <c r="L1550" s="6">
        <f>FLOOR(VLOOKUP($D1550,Sheet1!$D$5:$F$192,3,TRUE),1)</f>
        <v>20</v>
      </c>
      <c r="M1550" s="42" t="str">
        <f>VLOOKUP($D1550,Sheet1!$D$5:$F$192,2,TRUE)</f>
        <v>/|)</v>
      </c>
      <c r="N1550" s="23">
        <f>FLOOR(VLOOKUP($D1550,Sheet1!$G$5:$I$192,3,TRUE),1)</f>
        <v>25</v>
      </c>
      <c r="O1550" s="42" t="str">
        <f>VLOOKUP($D1550,Sheet1!$G$5:$I$192,2,TRUE)</f>
        <v>/|)</v>
      </c>
      <c r="P1550" s="23">
        <v>1</v>
      </c>
      <c r="Q1550" s="43" t="str">
        <f>VLOOKUP($D1550,Sheet1!$J$5:$L$192,2,TRUE)</f>
        <v>/|)</v>
      </c>
      <c r="R1550" s="23">
        <f>FLOOR(VLOOKUP($D1550,Sheet1!$M$5:$O$192,3,TRUE),1)</f>
        <v>100</v>
      </c>
      <c r="S1550" s="42" t="str">
        <f>VLOOKUP($D1550,Sheet1!$M$5:$O$192,2,TRUE)</f>
        <v>/|)</v>
      </c>
      <c r="T1550" s="117">
        <f>IF(ABS(D1550-VLOOKUP($D1550,Sheet1!$M$5:$T$192,8,TRUE))&lt;10^-10,"SoCA",D1550-VLOOKUP($D1550,Sheet1!$M$5:$T$192,8,TRUE))</f>
        <v>-6.3799600127445899E-2</v>
      </c>
      <c r="U1550" s="109" t="str">
        <f>IF(VLOOKUP($D1550,Sheet1!$M$5:$U$192,9,TRUE)=0,"",IF(ABS(D1550-VLOOKUP($D1550,Sheet1!$M$5:$U$192,9,TRUE))&lt;10^-10,"Alt.",D1550-VLOOKUP($D1550,Sheet1!$M$5:$U$192,9,TRUE)))</f>
        <v/>
      </c>
      <c r="V1550" s="132">
        <f>$D1550-Sheet1!$M$3*$R1550</f>
        <v>-8.5266296751122184E-2</v>
      </c>
      <c r="Z1550" s="6"/>
      <c r="AA1550" s="61"/>
    </row>
    <row r="1551" spans="1:27" ht="13.5">
      <c r="A1551" t="s">
        <v>744</v>
      </c>
      <c r="B1551">
        <v>2336</v>
      </c>
      <c r="C1551">
        <v>2403</v>
      </c>
      <c r="D1551" s="13">
        <f t="shared" si="31"/>
        <v>48.955649099819013</v>
      </c>
      <c r="E1551" s="61" t="s">
        <v>1931</v>
      </c>
      <c r="F1551" s="65">
        <v>162.12691980157595</v>
      </c>
      <c r="G1551" s="6">
        <v>703</v>
      </c>
      <c r="H1551" s="6">
        <v>589</v>
      </c>
      <c r="I1551" s="65">
        <v>-1.4377670215960592E-2</v>
      </c>
      <c r="J1551" s="6">
        <f>VLOOKUP($D1551,Sheet1!$A$5:$C$192,3,TRUE)</f>
        <v>9</v>
      </c>
      <c r="K1551" s="42" t="str">
        <f>VLOOKUP($D1551,Sheet1!$A$5:$C$192,2,TRUE)</f>
        <v>/|)</v>
      </c>
      <c r="L1551" s="6">
        <f>FLOOR(VLOOKUP($D1551,Sheet1!$D$5:$F$192,3,TRUE),1)</f>
        <v>20</v>
      </c>
      <c r="M1551" s="42" t="str">
        <f>VLOOKUP($D1551,Sheet1!$D$5:$F$192,2,TRUE)</f>
        <v>/|)</v>
      </c>
      <c r="N1551" s="23">
        <f>FLOOR(VLOOKUP($D1551,Sheet1!$G$5:$I$192,3,TRUE),1)</f>
        <v>25</v>
      </c>
      <c r="O1551" s="42" t="str">
        <f>VLOOKUP($D1551,Sheet1!$G$5:$I$192,2,TRUE)</f>
        <v>/|)</v>
      </c>
      <c r="P1551" s="23">
        <v>1</v>
      </c>
      <c r="Q1551" s="43" t="str">
        <f>VLOOKUP($D1551,Sheet1!$J$5:$L$192,2,TRUE)</f>
        <v>/|)</v>
      </c>
      <c r="R1551" s="23">
        <f>FLOOR(VLOOKUP($D1551,Sheet1!$M$5:$O$192,3,TRUE),1)</f>
        <v>100</v>
      </c>
      <c r="S1551" s="42" t="str">
        <f>VLOOKUP($D1551,Sheet1!$M$5:$O$192,2,TRUE)</f>
        <v>/|)</v>
      </c>
      <c r="T1551" s="117">
        <f>IF(ABS(D1551-VLOOKUP($D1551,Sheet1!$M$5:$T$192,8,TRUE))&lt;10^-10,"SoCA",D1551-VLOOKUP($D1551,Sheet1!$M$5:$T$192,8,TRUE))</f>
        <v>0.18526770300409368</v>
      </c>
      <c r="U1551" s="109" t="str">
        <f>IF(VLOOKUP($D1551,Sheet1!$M$5:$U$192,9,TRUE)=0,"",IF(ABS(D1551-VLOOKUP($D1551,Sheet1!$M$5:$U$192,9,TRUE))&lt;10^-10,"Alt.",D1551-VLOOKUP($D1551,Sheet1!$M$5:$U$192,9,TRUE)))</f>
        <v/>
      </c>
      <c r="V1551" s="132">
        <f>$D1551-Sheet1!$M$3*$R1551</f>
        <v>0.16380100638041739</v>
      </c>
      <c r="Z1551" s="6"/>
      <c r="AA1551" s="61"/>
    </row>
    <row r="1552" spans="1:27" ht="13.5">
      <c r="A1552" s="36" t="s">
        <v>194</v>
      </c>
      <c r="B1552" s="36">
        <f>3^5</f>
        <v>243</v>
      </c>
      <c r="C1552" s="36">
        <f>2*5^3</f>
        <v>250</v>
      </c>
      <c r="D1552" s="13">
        <f t="shared" si="31"/>
        <v>49.166137267567329</v>
      </c>
      <c r="E1552" s="61">
        <v>5</v>
      </c>
      <c r="F1552" s="65">
        <v>26.29213229926382</v>
      </c>
      <c r="G1552" s="6">
        <v>25</v>
      </c>
      <c r="H1552" s="6">
        <v>29</v>
      </c>
      <c r="I1552" s="65">
        <v>-8.0273381935543711</v>
      </c>
      <c r="J1552" s="6">
        <f>VLOOKUP($D1552,Sheet1!$A$5:$C$192,3,TRUE)</f>
        <v>9</v>
      </c>
      <c r="K1552" s="42" t="str">
        <f>VLOOKUP($D1552,Sheet1!$A$5:$C$192,2,TRUE)</f>
        <v>/|)</v>
      </c>
      <c r="L1552" s="6">
        <f>FLOOR(VLOOKUP($D1552,Sheet1!$D$5:$F$192,3,TRUE),1)</f>
        <v>20</v>
      </c>
      <c r="M1552" s="42" t="str">
        <f>VLOOKUP($D1552,Sheet1!$D$5:$F$192,2,TRUE)</f>
        <v>/|)</v>
      </c>
      <c r="N1552" s="23">
        <f>FLOOR(VLOOKUP($D1552,Sheet1!$G$5:$I$192,3,TRUE),1)</f>
        <v>25</v>
      </c>
      <c r="O1552" s="42" t="str">
        <f>VLOOKUP($D1552,Sheet1!$G$5:$I$192,2,TRUE)</f>
        <v>/|)</v>
      </c>
      <c r="P1552" s="23">
        <v>1</v>
      </c>
      <c r="Q1552" s="45" t="str">
        <f>VLOOKUP($D1552,Sheet1!$J$5:$L$192,2,TRUE)</f>
        <v>/|)'</v>
      </c>
      <c r="R1552" s="38">
        <f>FLOOR(VLOOKUP($D1552,Sheet1!$M$5:$O$192,3,TRUE),1)</f>
        <v>101</v>
      </c>
      <c r="S1552" s="45" t="str">
        <f>VLOOKUP($D1552,Sheet1!$M$5:$O$192,2,TRUE)</f>
        <v>/|)'</v>
      </c>
      <c r="T1552" s="108">
        <f>IF(ABS(D1552-VLOOKUP($D1552,Sheet1!$M$5:$T$192,8,TRUE))&lt;10^-10,"SoCA",D1552-VLOOKUP($D1552,Sheet1!$M$5:$T$192,8,TRUE))</f>
        <v>-2.6960295202414386E-2</v>
      </c>
      <c r="U1552" s="112" t="str">
        <f>IF(VLOOKUP($D1552,Sheet1!$M$5:$U$192,9,TRUE)=0,"",IF(ABS(D1552-VLOOKUP($D1552,Sheet1!$M$5:$U$192,9,TRUE))&lt;10^-10,"Alt.",D1552-VLOOKUP($D1552,Sheet1!$M$5:$U$192,9,TRUE)))</f>
        <v>Alt.</v>
      </c>
      <c r="V1552" s="133">
        <f>$D1552-Sheet1!$M$3*$R1552</f>
        <v>-0.11362930680564887</v>
      </c>
      <c r="Z1552" s="6"/>
      <c r="AA1552" s="61"/>
    </row>
    <row r="1553" spans="1:27" ht="13.5">
      <c r="A1553" s="40" t="s">
        <v>319</v>
      </c>
      <c r="B1553" s="40">
        <f>2^3*5^3</f>
        <v>1000</v>
      </c>
      <c r="C1553" s="40">
        <f>3*7^3</f>
        <v>1029</v>
      </c>
      <c r="D1553" s="13">
        <f t="shared" si="31"/>
        <v>49.491578678257611</v>
      </c>
      <c r="E1553" s="61">
        <v>7</v>
      </c>
      <c r="F1553" s="65">
        <v>36.061626757287286</v>
      </c>
      <c r="G1553" s="6">
        <v>164</v>
      </c>
      <c r="H1553" s="6">
        <v>150</v>
      </c>
      <c r="I1553" s="65">
        <v>-2.0473768068581819</v>
      </c>
      <c r="J1553" s="6">
        <f>VLOOKUP($D1553,Sheet1!$A$5:$C$192,3,TRUE)</f>
        <v>9</v>
      </c>
      <c r="K1553" s="42" t="str">
        <f>VLOOKUP($D1553,Sheet1!$A$5:$C$192,2,TRUE)</f>
        <v>/|)</v>
      </c>
      <c r="L1553" s="6">
        <f>FLOOR(VLOOKUP($D1553,Sheet1!$D$5:$F$192,3,TRUE),1)</f>
        <v>20</v>
      </c>
      <c r="M1553" s="42" t="str">
        <f>VLOOKUP($D1553,Sheet1!$D$5:$F$192,2,TRUE)</f>
        <v>/|)</v>
      </c>
      <c r="N1553" s="23">
        <f>FLOOR(VLOOKUP($D1553,Sheet1!$G$5:$I$192,3,TRUE),1)</f>
        <v>25</v>
      </c>
      <c r="O1553" s="42" t="str">
        <f>VLOOKUP($D1553,Sheet1!$G$5:$I$192,2,TRUE)</f>
        <v>/|)</v>
      </c>
      <c r="P1553" s="23">
        <v>1</v>
      </c>
      <c r="Q1553" s="43" t="str">
        <f>VLOOKUP($D1553,Sheet1!$J$5:$L$192,2,TRUE)</f>
        <v>/|)'</v>
      </c>
      <c r="R1553" s="40">
        <f>FLOOR(VLOOKUP($D1553,Sheet1!$M$5:$O$192,3,TRUE),1)</f>
        <v>101</v>
      </c>
      <c r="S1553" s="46" t="str">
        <f>VLOOKUP($D1553,Sheet1!$M$5:$O$192,2,TRUE)</f>
        <v>(|~.</v>
      </c>
      <c r="T1553" s="115">
        <f>IF(ABS(D1553-VLOOKUP($D1553,Sheet1!$M$5:$T$192,8,TRUE))&lt;10^-10,"SoCA",D1553-VLOOKUP($D1553,Sheet1!$M$5:$T$192,8,TRUE))</f>
        <v>1.9370342533257201E-2</v>
      </c>
      <c r="U1553" s="115">
        <f>IF(VLOOKUP($D1553,Sheet1!$M$5:$U$192,9,TRUE)=0,"",IF(ABS(D1553-VLOOKUP($D1553,Sheet1!$M$5:$U$192,9,TRUE))&lt;10^-10,"Alt.",D1553-VLOOKUP($D1553,Sheet1!$M$5:$U$192,9,TRUE)))</f>
        <v>-7.5899526691785013E-3</v>
      </c>
      <c r="V1553" s="132">
        <f>$D1553-Sheet1!$M$3*$R1553</f>
        <v>0.21181210388463256</v>
      </c>
      <c r="Z1553" s="6"/>
      <c r="AA1553" s="61"/>
    </row>
    <row r="1554" spans="1:27" ht="13.5">
      <c r="A1554" t="s">
        <v>518</v>
      </c>
      <c r="B1554">
        <v>3483</v>
      </c>
      <c r="C1554">
        <v>3584</v>
      </c>
      <c r="D1554" s="13">
        <f t="shared" si="31"/>
        <v>49.488197365057893</v>
      </c>
      <c r="E1554" s="61">
        <v>43</v>
      </c>
      <c r="F1554" s="65">
        <v>51.618026237662768</v>
      </c>
      <c r="G1554" s="6">
        <v>350</v>
      </c>
      <c r="H1554" s="6">
        <v>359</v>
      </c>
      <c r="I1554" s="65">
        <v>-7.0471686070856805</v>
      </c>
      <c r="J1554" s="6">
        <f>VLOOKUP($D1554,Sheet1!$A$5:$C$192,3,TRUE)</f>
        <v>9</v>
      </c>
      <c r="K1554" s="42" t="str">
        <f>VLOOKUP($D1554,Sheet1!$A$5:$C$192,2,TRUE)</f>
        <v>/|)</v>
      </c>
      <c r="L1554" s="6">
        <f>FLOOR(VLOOKUP($D1554,Sheet1!$D$5:$F$192,3,TRUE),1)</f>
        <v>20</v>
      </c>
      <c r="M1554" s="42" t="str">
        <f>VLOOKUP($D1554,Sheet1!$D$5:$F$192,2,TRUE)</f>
        <v>/|)</v>
      </c>
      <c r="N1554" s="23">
        <f>FLOOR(VLOOKUP($D1554,Sheet1!$G$5:$I$192,3,TRUE),1)</f>
        <v>25</v>
      </c>
      <c r="O1554" s="42" t="str">
        <f>VLOOKUP($D1554,Sheet1!$G$5:$I$192,2,TRUE)</f>
        <v>/|)</v>
      </c>
      <c r="P1554" s="23">
        <v>1</v>
      </c>
      <c r="Q1554" s="43" t="str">
        <f>VLOOKUP($D1554,Sheet1!$J$5:$L$192,2,TRUE)</f>
        <v>/|)'</v>
      </c>
      <c r="R1554" s="23">
        <f>FLOOR(VLOOKUP($D1554,Sheet1!$M$5:$O$192,3,TRUE),1)</f>
        <v>101</v>
      </c>
      <c r="S1554" s="42" t="str">
        <f>VLOOKUP($D1554,Sheet1!$M$5:$O$192,2,TRUE)</f>
        <v>(|~.</v>
      </c>
      <c r="T1554" s="117">
        <f>IF(ABS(D1554-VLOOKUP($D1554,Sheet1!$M$5:$T$192,8,TRUE))&lt;10^-10,"SoCA",D1554-VLOOKUP($D1554,Sheet1!$M$5:$T$192,8,TRUE))</f>
        <v>1.5989029333539406E-2</v>
      </c>
      <c r="U1554" s="109">
        <f>IF(VLOOKUP($D1554,Sheet1!$M$5:$U$192,9,TRUE)=0,"",IF(ABS(D1554-VLOOKUP($D1554,Sheet1!$M$5:$U$192,9,TRUE))&lt;10^-10,"Alt.",D1554-VLOOKUP($D1554,Sheet1!$M$5:$U$192,9,TRUE)))</f>
        <v>-1.0971265868896296E-2</v>
      </c>
      <c r="V1554" s="132">
        <f>$D1554-Sheet1!$M$3*$R1554</f>
        <v>0.20843079068491477</v>
      </c>
      <c r="Z1554" s="6"/>
      <c r="AA1554" s="61"/>
    </row>
    <row r="1555" spans="1:27" ht="13.5">
      <c r="A1555" t="s">
        <v>746</v>
      </c>
      <c r="B1555">
        <v>656</v>
      </c>
      <c r="C1555">
        <v>675</v>
      </c>
      <c r="D1555" s="13">
        <f t="shared" si="31"/>
        <v>49.430024784131589</v>
      </c>
      <c r="E1555" s="61">
        <v>41</v>
      </c>
      <c r="F1555" s="65">
        <v>61.299034746381295</v>
      </c>
      <c r="G1555" s="6">
        <v>706</v>
      </c>
      <c r="H1555" s="6">
        <v>591</v>
      </c>
      <c r="I1555" s="65">
        <v>-4.3586709343797381E-2</v>
      </c>
      <c r="J1555" s="6">
        <f>VLOOKUP($D1555,Sheet1!$A$5:$C$192,3,TRUE)</f>
        <v>9</v>
      </c>
      <c r="K1555" s="42" t="str">
        <f>VLOOKUP($D1555,Sheet1!$A$5:$C$192,2,TRUE)</f>
        <v>/|)</v>
      </c>
      <c r="L1555" s="6">
        <f>FLOOR(VLOOKUP($D1555,Sheet1!$D$5:$F$192,3,TRUE),1)</f>
        <v>20</v>
      </c>
      <c r="M1555" s="42" t="str">
        <f>VLOOKUP($D1555,Sheet1!$D$5:$F$192,2,TRUE)</f>
        <v>/|)</v>
      </c>
      <c r="N1555" s="23">
        <f>FLOOR(VLOOKUP($D1555,Sheet1!$G$5:$I$192,3,TRUE),1)</f>
        <v>25</v>
      </c>
      <c r="O1555" s="42" t="str">
        <f>VLOOKUP($D1555,Sheet1!$G$5:$I$192,2,TRUE)</f>
        <v>/|)</v>
      </c>
      <c r="P1555" s="23">
        <v>1</v>
      </c>
      <c r="Q1555" s="43" t="str">
        <f>VLOOKUP($D1555,Sheet1!$J$5:$L$192,2,TRUE)</f>
        <v>/|)'</v>
      </c>
      <c r="R1555" s="23">
        <f>FLOOR(VLOOKUP($D1555,Sheet1!$M$5:$O$192,3,TRUE),1)</f>
        <v>101</v>
      </c>
      <c r="S1555" s="42" t="str">
        <f>VLOOKUP($D1555,Sheet1!$M$5:$O$192,2,TRUE)</f>
        <v>(|~.</v>
      </c>
      <c r="T1555" s="117">
        <f>IF(ABS(D1555-VLOOKUP($D1555,Sheet1!$M$5:$T$192,8,TRUE))&lt;10^-10,"SoCA",D1555-VLOOKUP($D1555,Sheet1!$M$5:$T$192,8,TRUE))</f>
        <v>-4.218355159276399E-2</v>
      </c>
      <c r="U1555" s="109">
        <f>IF(VLOOKUP($D1555,Sheet1!$M$5:$U$192,9,TRUE)=0,"",IF(ABS(D1555-VLOOKUP($D1555,Sheet1!$M$5:$U$192,9,TRUE))&lt;10^-10,"Alt.",D1555-VLOOKUP($D1555,Sheet1!$M$5:$U$192,9,TRUE)))</f>
        <v>-6.9143846795199693E-2</v>
      </c>
      <c r="V1555" s="132">
        <f>$D1555-Sheet1!$M$3*$R1555</f>
        <v>0.15025820975861137</v>
      </c>
      <c r="Z1555" s="6"/>
      <c r="AA1555" s="61"/>
    </row>
    <row r="1556" spans="1:27" ht="13.5">
      <c r="A1556" t="s">
        <v>745</v>
      </c>
      <c r="B1556">
        <v>4199</v>
      </c>
      <c r="C1556">
        <v>4320</v>
      </c>
      <c r="D1556" s="13">
        <f t="shared" si="31"/>
        <v>49.18262905897658</v>
      </c>
      <c r="E1556" s="61">
        <v>19</v>
      </c>
      <c r="F1556" s="65">
        <v>75.700287791899513</v>
      </c>
      <c r="G1556" s="6">
        <v>704</v>
      </c>
      <c r="H1556" s="6">
        <v>590</v>
      </c>
      <c r="I1556" s="65">
        <v>-2.8353653234305387E-2</v>
      </c>
      <c r="J1556" s="6">
        <f>VLOOKUP($D1556,Sheet1!$A$5:$C$192,3,TRUE)</f>
        <v>9</v>
      </c>
      <c r="K1556" s="42" t="str">
        <f>VLOOKUP($D1556,Sheet1!$A$5:$C$192,2,TRUE)</f>
        <v>/|)</v>
      </c>
      <c r="L1556" s="6">
        <f>FLOOR(VLOOKUP($D1556,Sheet1!$D$5:$F$192,3,TRUE),1)</f>
        <v>20</v>
      </c>
      <c r="M1556" s="42" t="str">
        <f>VLOOKUP($D1556,Sheet1!$D$5:$F$192,2,TRUE)</f>
        <v>/|)</v>
      </c>
      <c r="N1556" s="23">
        <f>FLOOR(VLOOKUP($D1556,Sheet1!$G$5:$I$192,3,TRUE),1)</f>
        <v>25</v>
      </c>
      <c r="O1556" s="42" t="str">
        <f>VLOOKUP($D1556,Sheet1!$G$5:$I$192,2,TRUE)</f>
        <v>/|)</v>
      </c>
      <c r="P1556" s="23">
        <v>1</v>
      </c>
      <c r="Q1556" s="43" t="str">
        <f>VLOOKUP($D1556,Sheet1!$J$5:$L$192,2,TRUE)</f>
        <v>/|)'</v>
      </c>
      <c r="R1556" s="23">
        <f>FLOOR(VLOOKUP($D1556,Sheet1!$M$5:$O$192,3,TRUE),1)</f>
        <v>101</v>
      </c>
      <c r="S1556" s="42" t="str">
        <f>VLOOKUP($D1556,Sheet1!$M$5:$O$192,2,TRUE)</f>
        <v>/|)'</v>
      </c>
      <c r="T1556" s="117">
        <f>IF(ABS(D1556-VLOOKUP($D1556,Sheet1!$M$5:$T$192,8,TRUE))&lt;10^-10,"SoCA",D1556-VLOOKUP($D1556,Sheet1!$M$5:$T$192,8,TRUE))</f>
        <v>-1.0468503793163109E-2</v>
      </c>
      <c r="U1556" s="109">
        <f>IF(VLOOKUP($D1556,Sheet1!$M$5:$U$192,9,TRUE)=0,"",IF(ABS(D1556-VLOOKUP($D1556,Sheet1!$M$5:$U$192,9,TRUE))&lt;10^-10,"Alt.",D1556-VLOOKUP($D1556,Sheet1!$M$5:$U$192,9,TRUE)))</f>
        <v>1.6491791409272594E-2</v>
      </c>
      <c r="V1556" s="132">
        <f>$D1556-Sheet1!$M$3*$R1556</f>
        <v>-9.7137515396397589E-2</v>
      </c>
      <c r="Z1556" s="6"/>
      <c r="AA1556" s="61"/>
    </row>
    <row r="1557" spans="1:27" ht="13.5">
      <c r="A1557" t="s">
        <v>1223</v>
      </c>
      <c r="B1557">
        <v>2115</v>
      </c>
      <c r="C1557">
        <v>2176</v>
      </c>
      <c r="D1557" s="13">
        <f t="shared" si="31"/>
        <v>49.22507189163268</v>
      </c>
      <c r="E1557" s="61">
        <v>47</v>
      </c>
      <c r="F1557" s="65">
        <v>83.232042335233515</v>
      </c>
      <c r="G1557" s="6">
        <v>1130</v>
      </c>
      <c r="H1557" s="6">
        <v>1072</v>
      </c>
      <c r="I1557" s="65">
        <v>-5.0309670130685991</v>
      </c>
      <c r="J1557" s="6">
        <f>VLOOKUP($D1557,Sheet1!$A$5:$C$192,3,TRUE)</f>
        <v>9</v>
      </c>
      <c r="K1557" s="42" t="str">
        <f>VLOOKUP($D1557,Sheet1!$A$5:$C$192,2,TRUE)</f>
        <v>/|)</v>
      </c>
      <c r="L1557" s="6">
        <f>FLOOR(VLOOKUP($D1557,Sheet1!$D$5:$F$192,3,TRUE),1)</f>
        <v>20</v>
      </c>
      <c r="M1557" s="42" t="str">
        <f>VLOOKUP($D1557,Sheet1!$D$5:$F$192,2,TRUE)</f>
        <v>/|)</v>
      </c>
      <c r="N1557" s="23">
        <f>FLOOR(VLOOKUP($D1557,Sheet1!$G$5:$I$192,3,TRUE),1)</f>
        <v>25</v>
      </c>
      <c r="O1557" s="42" t="str">
        <f>VLOOKUP($D1557,Sheet1!$G$5:$I$192,2,TRUE)</f>
        <v>/|)</v>
      </c>
      <c r="P1557" s="23">
        <v>1</v>
      </c>
      <c r="Q1557" s="43" t="str">
        <f>VLOOKUP($D1557,Sheet1!$J$5:$L$192,2,TRUE)</f>
        <v>/|)'</v>
      </c>
      <c r="R1557" s="23">
        <f>FLOOR(VLOOKUP($D1557,Sheet1!$M$5:$O$192,3,TRUE),1)</f>
        <v>101</v>
      </c>
      <c r="S1557" s="42" t="str">
        <f>VLOOKUP($D1557,Sheet1!$M$5:$O$192,2,TRUE)</f>
        <v>/|)'</v>
      </c>
      <c r="T1557" s="117">
        <f>IF(ABS(D1557-VLOOKUP($D1557,Sheet1!$M$5:$T$192,8,TRUE))&lt;10^-10,"SoCA",D1557-VLOOKUP($D1557,Sheet1!$M$5:$T$192,8,TRUE))</f>
        <v>3.1974328862936829E-2</v>
      </c>
      <c r="U1557" s="109">
        <f>IF(VLOOKUP($D1557,Sheet1!$M$5:$U$192,9,TRUE)=0,"",IF(ABS(D1557-VLOOKUP($D1557,Sheet1!$M$5:$U$192,9,TRUE))&lt;10^-10,"Alt.",D1557-VLOOKUP($D1557,Sheet1!$M$5:$U$192,9,TRUE)))</f>
        <v>5.8934624065372532E-2</v>
      </c>
      <c r="V1557" s="132">
        <f>$D1557-Sheet1!$M$3*$R1557</f>
        <v>-5.4694682740297651E-2</v>
      </c>
      <c r="Z1557" s="6"/>
      <c r="AA1557" s="61"/>
    </row>
    <row r="1558" spans="1:27" ht="13.5">
      <c r="A1558" t="s">
        <v>1628</v>
      </c>
      <c r="B1558">
        <v>51759</v>
      </c>
      <c r="C1558">
        <v>53248</v>
      </c>
      <c r="D1558" s="13">
        <f t="shared" si="31"/>
        <v>49.101113171367786</v>
      </c>
      <c r="E1558" s="61" t="s">
        <v>1931</v>
      </c>
      <c r="F1558" s="65">
        <v>91.189539251300843</v>
      </c>
      <c r="G1558" s="6">
        <v>1536</v>
      </c>
      <c r="H1558" s="6">
        <v>1477</v>
      </c>
      <c r="I1558" s="65">
        <v>-9.0233344230556849</v>
      </c>
      <c r="J1558" s="6">
        <f>VLOOKUP($D1558,Sheet1!$A$5:$C$192,3,TRUE)</f>
        <v>9</v>
      </c>
      <c r="K1558" s="42" t="str">
        <f>VLOOKUP($D1558,Sheet1!$A$5:$C$192,2,TRUE)</f>
        <v>/|)</v>
      </c>
      <c r="L1558" s="6">
        <f>FLOOR(VLOOKUP($D1558,Sheet1!$D$5:$F$192,3,TRUE),1)</f>
        <v>20</v>
      </c>
      <c r="M1558" s="42" t="str">
        <f>VLOOKUP($D1558,Sheet1!$D$5:$F$192,2,TRUE)</f>
        <v>/|)</v>
      </c>
      <c r="N1558" s="23">
        <f>FLOOR(VLOOKUP($D1558,Sheet1!$G$5:$I$192,3,TRUE),1)</f>
        <v>25</v>
      </c>
      <c r="O1558" s="42" t="str">
        <f>VLOOKUP($D1558,Sheet1!$G$5:$I$192,2,TRUE)</f>
        <v>/|)</v>
      </c>
      <c r="P1558" s="23">
        <v>1</v>
      </c>
      <c r="Q1558" s="43" t="str">
        <f>VLOOKUP($D1558,Sheet1!$J$5:$L$192,2,TRUE)</f>
        <v>/|)'</v>
      </c>
      <c r="R1558" s="23">
        <f>FLOOR(VLOOKUP($D1558,Sheet1!$M$5:$O$192,3,TRUE),1)</f>
        <v>101</v>
      </c>
      <c r="S1558" s="42" t="str">
        <f>VLOOKUP($D1558,Sheet1!$M$5:$O$192,2,TRUE)</f>
        <v>/|)'</v>
      </c>
      <c r="T1558" s="117">
        <f>IF(ABS(D1558-VLOOKUP($D1558,Sheet1!$M$5:$T$192,8,TRUE))&lt;10^-10,"SoCA",D1558-VLOOKUP($D1558,Sheet1!$M$5:$T$192,8,TRUE))</f>
        <v>-9.1984391401958021E-2</v>
      </c>
      <c r="U1558" s="109">
        <f>IF(VLOOKUP($D1558,Sheet1!$M$5:$U$192,9,TRUE)=0,"",IF(ABS(D1558-VLOOKUP($D1558,Sheet1!$M$5:$U$192,9,TRUE))&lt;10^-10,"Alt.",D1558-VLOOKUP($D1558,Sheet1!$M$5:$U$192,9,TRUE)))</f>
        <v>-6.5024096199522319E-2</v>
      </c>
      <c r="V1558" s="132">
        <f>$D1558-Sheet1!$M$3*$R1558</f>
        <v>-0.1786534030051925</v>
      </c>
      <c r="Z1558" s="6"/>
      <c r="AA1558" s="61"/>
    </row>
    <row r="1559" spans="1:27" ht="13.5">
      <c r="A1559" t="s">
        <v>1454</v>
      </c>
      <c r="B1559">
        <v>8781824</v>
      </c>
      <c r="C1559">
        <v>9034497</v>
      </c>
      <c r="D1559" s="13">
        <f t="shared" si="31"/>
        <v>49.108391335729372</v>
      </c>
      <c r="E1559" s="61" t="s">
        <v>1931</v>
      </c>
      <c r="F1559" s="65">
        <v>140.59159202567247</v>
      </c>
      <c r="G1559" s="6">
        <v>1226</v>
      </c>
      <c r="H1559" s="6">
        <v>1303</v>
      </c>
      <c r="I1559" s="65">
        <v>8.9762174338487757</v>
      </c>
      <c r="J1559" s="6">
        <f>VLOOKUP($D1559,Sheet1!$A$5:$C$192,3,TRUE)</f>
        <v>9</v>
      </c>
      <c r="K1559" s="42" t="str">
        <f>VLOOKUP($D1559,Sheet1!$A$5:$C$192,2,TRUE)</f>
        <v>/|)</v>
      </c>
      <c r="L1559" s="6">
        <f>FLOOR(VLOOKUP($D1559,Sheet1!$D$5:$F$192,3,TRUE),1)</f>
        <v>20</v>
      </c>
      <c r="M1559" s="42" t="str">
        <f>VLOOKUP($D1559,Sheet1!$D$5:$F$192,2,TRUE)</f>
        <v>/|)</v>
      </c>
      <c r="N1559" s="23">
        <f>FLOOR(VLOOKUP($D1559,Sheet1!$G$5:$I$192,3,TRUE),1)</f>
        <v>25</v>
      </c>
      <c r="O1559" s="42" t="str">
        <f>VLOOKUP($D1559,Sheet1!$G$5:$I$192,2,TRUE)</f>
        <v>/|)</v>
      </c>
      <c r="P1559" s="23">
        <v>1</v>
      </c>
      <c r="Q1559" s="43" t="str">
        <f>VLOOKUP($D1559,Sheet1!$J$5:$L$192,2,TRUE)</f>
        <v>/|)'</v>
      </c>
      <c r="R1559" s="23">
        <f>FLOOR(VLOOKUP($D1559,Sheet1!$M$5:$O$192,3,TRUE),1)</f>
        <v>101</v>
      </c>
      <c r="S1559" s="42" t="str">
        <f>VLOOKUP($D1559,Sheet1!$M$5:$O$192,2,TRUE)</f>
        <v>/|)'</v>
      </c>
      <c r="T1559" s="117">
        <f>IF(ABS(D1559-VLOOKUP($D1559,Sheet1!$M$5:$T$192,8,TRUE))&lt;10^-10,"SoCA",D1559-VLOOKUP($D1559,Sheet1!$M$5:$T$192,8,TRUE))</f>
        <v>-8.4706227040371118E-2</v>
      </c>
      <c r="U1559" s="109">
        <f>IF(VLOOKUP($D1559,Sheet1!$M$5:$U$192,9,TRUE)=0,"",IF(ABS(D1559-VLOOKUP($D1559,Sheet1!$M$5:$U$192,9,TRUE))&lt;10^-10,"Alt.",D1559-VLOOKUP($D1559,Sheet1!$M$5:$U$192,9,TRUE)))</f>
        <v>-5.7745931837935416E-2</v>
      </c>
      <c r="V1559" s="132">
        <f>$D1559-Sheet1!$M$3*$R1559</f>
        <v>-0.1713752386436056</v>
      </c>
      <c r="Z1559" s="6"/>
      <c r="AA1559" s="61"/>
    </row>
    <row r="1560" spans="1:27" ht="13.5">
      <c r="A1560" s="33" t="s">
        <v>196</v>
      </c>
      <c r="B1560" s="33">
        <f>3^2*19</f>
        <v>171</v>
      </c>
      <c r="C1560" s="35">
        <f>2^4*11</f>
        <v>176</v>
      </c>
      <c r="D1560" s="13">
        <f t="shared" si="31"/>
        <v>49.894924501679178</v>
      </c>
      <c r="E1560" s="61">
        <v>19</v>
      </c>
      <c r="F1560" s="65">
        <v>30.36034521872147</v>
      </c>
      <c r="G1560" s="6">
        <v>106</v>
      </c>
      <c r="H1560" s="6">
        <v>103</v>
      </c>
      <c r="I1560" s="65">
        <v>-5.0722122786750869</v>
      </c>
      <c r="J1560" s="6">
        <f>VLOOKUP($D1560,Sheet1!$A$5:$C$192,3,TRUE)</f>
        <v>9</v>
      </c>
      <c r="K1560" s="42" t="str">
        <f>VLOOKUP($D1560,Sheet1!$A$5:$C$192,2,TRUE)</f>
        <v>/|)</v>
      </c>
      <c r="L1560" s="34">
        <f>FLOOR(VLOOKUP($D1560,Sheet1!$D$5:$F$192,3,TRUE),1)</f>
        <v>21</v>
      </c>
      <c r="M1560" s="41" t="str">
        <f>VLOOKUP($D1560,Sheet1!$D$5:$F$192,2,TRUE)</f>
        <v>(|~</v>
      </c>
      <c r="N1560" s="34">
        <f>FLOOR(VLOOKUP($D1560,Sheet1!$G$5:$I$192,3,TRUE),1)</f>
        <v>25</v>
      </c>
      <c r="O1560" s="41" t="str">
        <f>VLOOKUP($D1560,Sheet1!$G$5:$I$192,2,TRUE)</f>
        <v>(|~</v>
      </c>
      <c r="P1560" s="34">
        <v>1</v>
      </c>
      <c r="Q1560" s="41" t="str">
        <f>VLOOKUP($D1560,Sheet1!$J$5:$L$192,2,TRUE)</f>
        <v>(|~</v>
      </c>
      <c r="R1560" s="34">
        <f>FLOOR(VLOOKUP($D1560,Sheet1!$M$5:$O$192,3,TRUE),1)</f>
        <v>102</v>
      </c>
      <c r="S1560" s="41" t="str">
        <f>VLOOKUP($D1560,Sheet1!$M$5:$O$192,2,TRUE)</f>
        <v>(|~</v>
      </c>
      <c r="T1560" s="114" t="str">
        <f>IF(ABS(D1560-VLOOKUP($D1560,Sheet1!$M$5:$T$192,8,TRUE))&lt;10^-10,"SoCA",D1560-VLOOKUP($D1560,Sheet1!$M$5:$T$192,8,TRUE))</f>
        <v>SoCA</v>
      </c>
      <c r="U1560" s="126" t="str">
        <f>IF(VLOOKUP($D1560,Sheet1!$M$5:$U$192,9,TRUE)=0,"",IF(ABS(D1560-VLOOKUP($D1560,Sheet1!$M$5:$U$192,9,TRUE))&lt;10^-10,"Alt.",D1560-VLOOKUP($D1560,Sheet1!$M$5:$U$192,9,TRUE)))</f>
        <v/>
      </c>
      <c r="V1560" s="137">
        <f>$D1560-Sheet1!$M$3*$R1560</f>
        <v>0.12723944637181006</v>
      </c>
      <c r="Z1560" s="6"/>
      <c r="AA1560" s="61"/>
    </row>
    <row r="1561" spans="1:27" ht="13.5">
      <c r="A1561" s="23" t="s">
        <v>1685</v>
      </c>
      <c r="B1561" s="23">
        <f>3^7*7*13</f>
        <v>199017</v>
      </c>
      <c r="C1561" s="23">
        <f>2^13*5^2</f>
        <v>204800</v>
      </c>
      <c r="D1561" s="13">
        <f t="shared" si="31"/>
        <v>49.588853433522296</v>
      </c>
      <c r="E1561" s="61">
        <v>13</v>
      </c>
      <c r="F1561" s="65">
        <v>41.397298903336953</v>
      </c>
      <c r="G1561" s="6">
        <v>1456</v>
      </c>
      <c r="H1561" s="6">
        <v>1534</v>
      </c>
      <c r="I1561" s="65">
        <v>-10.053366367931057</v>
      </c>
      <c r="J1561" s="6">
        <f>VLOOKUP($D1561,Sheet1!$A$5:$C$192,3,TRUE)</f>
        <v>9</v>
      </c>
      <c r="K1561" s="42" t="str">
        <f>VLOOKUP($D1561,Sheet1!$A$5:$C$192,2,TRUE)</f>
        <v>/|)</v>
      </c>
      <c r="L1561" s="6">
        <f>FLOOR(VLOOKUP($D1561,Sheet1!$D$5:$F$192,3,TRUE),1)</f>
        <v>21</v>
      </c>
      <c r="M1561" s="42" t="str">
        <f>VLOOKUP($D1561,Sheet1!$D$5:$F$192,2,TRUE)</f>
        <v>(|~</v>
      </c>
      <c r="N1561" s="23">
        <f>FLOOR(VLOOKUP($D1561,Sheet1!$G$5:$I$192,3,TRUE),1)</f>
        <v>25</v>
      </c>
      <c r="O1561" s="42" t="str">
        <f>VLOOKUP($D1561,Sheet1!$G$5:$I$192,2,TRUE)</f>
        <v>(|~</v>
      </c>
      <c r="P1561" s="23">
        <v>1</v>
      </c>
      <c r="Q1561" s="43" t="str">
        <f>VLOOKUP($D1561,Sheet1!$J$5:$L$192,2,TRUE)</f>
        <v>(|~</v>
      </c>
      <c r="R1561" s="23">
        <f>FLOOR(VLOOKUP($D1561,Sheet1!$M$5:$O$192,3,TRUE),1)</f>
        <v>102</v>
      </c>
      <c r="S1561" s="43" t="str">
        <f>VLOOKUP($D1561,Sheet1!$M$5:$O$192,2,TRUE)</f>
        <v>(|~</v>
      </c>
      <c r="T1561" s="117">
        <f>IF(ABS(D1561-VLOOKUP($D1561,Sheet1!$M$5:$T$192,8,TRUE))&lt;10^-10,"SoCA",D1561-VLOOKUP($D1561,Sheet1!$M$5:$T$192,8,TRUE))</f>
        <v>-0.30607106815688212</v>
      </c>
      <c r="U1561" s="124" t="str">
        <f>IF(VLOOKUP($D1561,Sheet1!$M$5:$U$192,9,TRUE)=0,"",IF(ABS(D1561-VLOOKUP($D1561,Sheet1!$M$5:$U$192,9,TRUE))&lt;10^-10,"Alt.",D1561-VLOOKUP($D1561,Sheet1!$M$5:$U$192,9,TRUE)))</f>
        <v/>
      </c>
      <c r="V1561" s="132">
        <f>$D1561-Sheet1!$M$3*$R1561</f>
        <v>-0.17883162178507206</v>
      </c>
      <c r="Z1561" s="6"/>
      <c r="AA1561" s="61"/>
    </row>
    <row r="1562" spans="1:27" ht="13.5">
      <c r="A1562" s="6" t="s">
        <v>701</v>
      </c>
      <c r="B1562" s="6">
        <f>2^4*3*5</f>
        <v>240</v>
      </c>
      <c r="C1562" s="6">
        <f>13*19</f>
        <v>247</v>
      </c>
      <c r="D1562" s="13">
        <f t="shared" si="31"/>
        <v>49.77196317139078</v>
      </c>
      <c r="E1562" s="61">
        <v>19</v>
      </c>
      <c r="F1562" s="65">
        <v>44.589565985621071</v>
      </c>
      <c r="G1562" s="6">
        <v>587</v>
      </c>
      <c r="H1562" s="6">
        <v>546</v>
      </c>
      <c r="I1562" s="65">
        <v>-4.064641101596715</v>
      </c>
      <c r="J1562" s="6">
        <f>VLOOKUP($D1562,Sheet1!$A$5:$C$192,3,TRUE)</f>
        <v>9</v>
      </c>
      <c r="K1562" s="42" t="str">
        <f>VLOOKUP($D1562,Sheet1!$A$5:$C$192,2,TRUE)</f>
        <v>/|)</v>
      </c>
      <c r="L1562" s="6">
        <f>FLOOR(VLOOKUP($D1562,Sheet1!$D$5:$F$192,3,TRUE),1)</f>
        <v>21</v>
      </c>
      <c r="M1562" s="42" t="str">
        <f>VLOOKUP($D1562,Sheet1!$D$5:$F$192,2,TRUE)</f>
        <v>(|~</v>
      </c>
      <c r="N1562" s="23">
        <f>FLOOR(VLOOKUP($D1562,Sheet1!$G$5:$I$192,3,TRUE),1)</f>
        <v>25</v>
      </c>
      <c r="O1562" s="42" t="str">
        <f>VLOOKUP($D1562,Sheet1!$G$5:$I$192,2,TRUE)</f>
        <v>(|~</v>
      </c>
      <c r="P1562" s="23">
        <v>1</v>
      </c>
      <c r="Q1562" s="43" t="str">
        <f>VLOOKUP($D1562,Sheet1!$J$5:$L$192,2,TRUE)</f>
        <v>(|~</v>
      </c>
      <c r="R1562" s="23">
        <f>FLOOR(VLOOKUP($D1562,Sheet1!$M$5:$O$192,3,TRUE),1)</f>
        <v>102</v>
      </c>
      <c r="S1562" s="42" t="str">
        <f>VLOOKUP($D1562,Sheet1!$M$5:$O$192,2,TRUE)</f>
        <v>(|~</v>
      </c>
      <c r="T1562" s="117">
        <f>IF(ABS(D1562-VLOOKUP($D1562,Sheet1!$M$5:$T$192,8,TRUE))&lt;10^-10,"SoCA",D1562-VLOOKUP($D1562,Sheet1!$M$5:$T$192,8,TRUE))</f>
        <v>-0.12296133028839762</v>
      </c>
      <c r="U1562" s="109" t="str">
        <f>IF(VLOOKUP($D1562,Sheet1!$M$5:$U$192,9,TRUE)=0,"",IF(ABS(D1562-VLOOKUP($D1562,Sheet1!$M$5:$U$192,9,TRUE))&lt;10^-10,"Alt.",D1562-VLOOKUP($D1562,Sheet1!$M$5:$U$192,9,TRUE)))</f>
        <v/>
      </c>
      <c r="V1562" s="132">
        <f>$D1562-Sheet1!$M$3*$R1562</f>
        <v>4.2781160834124421E-3</v>
      </c>
      <c r="Z1562" s="6"/>
      <c r="AA1562" s="61"/>
    </row>
    <row r="1563" spans="1:27" ht="13.5">
      <c r="A1563" s="6" t="s">
        <v>1018</v>
      </c>
      <c r="B1563" s="6">
        <f>2^12*23</f>
        <v>94208</v>
      </c>
      <c r="C1563" s="6">
        <f>3^6*7*19</f>
        <v>96957</v>
      </c>
      <c r="D1563" s="13">
        <f t="shared" si="31"/>
        <v>49.79458052533667</v>
      </c>
      <c r="E1563" s="61">
        <v>23</v>
      </c>
      <c r="F1563" s="65">
        <v>59.578049990752845</v>
      </c>
      <c r="G1563" s="6">
        <v>936.1</v>
      </c>
      <c r="H1563" s="6">
        <v>866.1</v>
      </c>
      <c r="I1563" s="65">
        <v>2.9339662655213301</v>
      </c>
      <c r="J1563" s="6">
        <f>VLOOKUP($D1563,Sheet1!$A$5:$C$192,3,TRUE)</f>
        <v>9</v>
      </c>
      <c r="K1563" s="42" t="str">
        <f>VLOOKUP($D1563,Sheet1!$A$5:$C$192,2,TRUE)</f>
        <v>/|)</v>
      </c>
      <c r="L1563" s="6">
        <f>FLOOR(VLOOKUP($D1563,Sheet1!$D$5:$F$192,3,TRUE),1)</f>
        <v>21</v>
      </c>
      <c r="M1563" s="42" t="str">
        <f>VLOOKUP($D1563,Sheet1!$D$5:$F$192,2,TRUE)</f>
        <v>(|~</v>
      </c>
      <c r="N1563" s="23">
        <f>FLOOR(VLOOKUP($D1563,Sheet1!$G$5:$I$192,3,TRUE),1)</f>
        <v>25</v>
      </c>
      <c r="O1563" s="42" t="str">
        <f>VLOOKUP($D1563,Sheet1!$G$5:$I$192,2,TRUE)</f>
        <v>(|~</v>
      </c>
      <c r="P1563" s="23">
        <v>1</v>
      </c>
      <c r="Q1563" s="43" t="str">
        <f>VLOOKUP($D1563,Sheet1!$J$5:$L$192,2,TRUE)</f>
        <v>(|~</v>
      </c>
      <c r="R1563" s="23">
        <f>FLOOR(VLOOKUP($D1563,Sheet1!$M$5:$O$192,3,TRUE),1)</f>
        <v>102</v>
      </c>
      <c r="S1563" s="42" t="str">
        <f>VLOOKUP($D1563,Sheet1!$M$5:$O$192,2,TRUE)</f>
        <v>(|~</v>
      </c>
      <c r="T1563" s="117">
        <f>IF(ABS(D1563-VLOOKUP($D1563,Sheet1!$M$5:$T$192,8,TRUE))&lt;10^-10,"SoCA",D1563-VLOOKUP($D1563,Sheet1!$M$5:$T$192,8,TRUE))</f>
        <v>-0.1003439763425078</v>
      </c>
      <c r="U1563" s="109" t="str">
        <f>IF(VLOOKUP($D1563,Sheet1!$M$5:$U$192,9,TRUE)=0,"",IF(ABS(D1563-VLOOKUP($D1563,Sheet1!$M$5:$U$192,9,TRUE))&lt;10^-10,"Alt.",D1563-VLOOKUP($D1563,Sheet1!$M$5:$U$192,9,TRUE)))</f>
        <v/>
      </c>
      <c r="V1563" s="132">
        <f>$D1563-Sheet1!$M$3*$R1563</f>
        <v>2.689547002930226E-2</v>
      </c>
      <c r="Z1563" s="6"/>
      <c r="AA1563" s="61"/>
    </row>
    <row r="1564" spans="1:27" ht="13.5">
      <c r="A1564" t="s">
        <v>817</v>
      </c>
      <c r="B1564">
        <v>551</v>
      </c>
      <c r="C1564">
        <v>567</v>
      </c>
      <c r="D1564" s="13">
        <f t="shared" si="31"/>
        <v>49.555699645285344</v>
      </c>
      <c r="E1564" s="61">
        <v>29</v>
      </c>
      <c r="F1564" s="65">
        <v>66.200233610645455</v>
      </c>
      <c r="G1564" s="6">
        <v>750</v>
      </c>
      <c r="H1564" s="6">
        <v>664</v>
      </c>
      <c r="I1564" s="65">
        <v>0.94867503159651889</v>
      </c>
      <c r="J1564" s="6">
        <f>VLOOKUP($D1564,Sheet1!$A$5:$C$192,3,TRUE)</f>
        <v>9</v>
      </c>
      <c r="K1564" s="42" t="str">
        <f>VLOOKUP($D1564,Sheet1!$A$5:$C$192,2,TRUE)</f>
        <v>/|)</v>
      </c>
      <c r="L1564" s="6">
        <f>FLOOR(VLOOKUP($D1564,Sheet1!$D$5:$F$192,3,TRUE),1)</f>
        <v>21</v>
      </c>
      <c r="M1564" s="42" t="str">
        <f>VLOOKUP($D1564,Sheet1!$D$5:$F$192,2,TRUE)</f>
        <v>(|~</v>
      </c>
      <c r="N1564" s="23">
        <f>FLOOR(VLOOKUP($D1564,Sheet1!$G$5:$I$192,3,TRUE),1)</f>
        <v>25</v>
      </c>
      <c r="O1564" s="42" t="str">
        <f>VLOOKUP($D1564,Sheet1!$G$5:$I$192,2,TRUE)</f>
        <v>(|~</v>
      </c>
      <c r="P1564" s="23">
        <v>1</v>
      </c>
      <c r="Q1564" s="43" t="str">
        <f>VLOOKUP($D1564,Sheet1!$J$5:$L$192,2,TRUE)</f>
        <v>(|~</v>
      </c>
      <c r="R1564" s="23">
        <f>FLOOR(VLOOKUP($D1564,Sheet1!$M$5:$O$192,3,TRUE),1)</f>
        <v>102</v>
      </c>
      <c r="S1564" s="42" t="str">
        <f>VLOOKUP($D1564,Sheet1!$M$5:$O$192,2,TRUE)</f>
        <v>(|~</v>
      </c>
      <c r="T1564" s="117">
        <f>IF(ABS(D1564-VLOOKUP($D1564,Sheet1!$M$5:$T$192,8,TRUE))&lt;10^-10,"SoCA",D1564-VLOOKUP($D1564,Sheet1!$M$5:$T$192,8,TRUE))</f>
        <v>-0.33922485639383382</v>
      </c>
      <c r="U1564" s="109" t="str">
        <f>IF(VLOOKUP($D1564,Sheet1!$M$5:$U$192,9,TRUE)=0,"",IF(ABS(D1564-VLOOKUP($D1564,Sheet1!$M$5:$U$192,9,TRUE))&lt;10^-10,"Alt.",D1564-VLOOKUP($D1564,Sheet1!$M$5:$U$192,9,TRUE)))</f>
        <v/>
      </c>
      <c r="V1564" s="132">
        <f>$D1564-Sheet1!$M$3*$R1564</f>
        <v>-0.21198541002202376</v>
      </c>
      <c r="Z1564" s="6"/>
      <c r="AA1564" s="61"/>
    </row>
    <row r="1565" spans="1:27" ht="13.5">
      <c r="A1565" t="s">
        <v>1030</v>
      </c>
      <c r="B1565">
        <v>512</v>
      </c>
      <c r="C1565">
        <v>527</v>
      </c>
      <c r="D1565" s="13">
        <f t="shared" si="31"/>
        <v>49.990981964657543</v>
      </c>
      <c r="E1565" s="61">
        <v>31</v>
      </c>
      <c r="F1565" s="65">
        <v>67.302060179910825</v>
      </c>
      <c r="G1565" s="6">
        <v>949</v>
      </c>
      <c r="H1565" s="6">
        <v>878</v>
      </c>
      <c r="I1565" s="65">
        <v>-3.0781268866270559</v>
      </c>
      <c r="J1565" s="6">
        <f>VLOOKUP($D1565,Sheet1!$A$5:$C$192,3,TRUE)</f>
        <v>9</v>
      </c>
      <c r="K1565" s="42" t="str">
        <f>VLOOKUP($D1565,Sheet1!$A$5:$C$192,2,TRUE)</f>
        <v>/|)</v>
      </c>
      <c r="L1565" s="6">
        <f>FLOOR(VLOOKUP($D1565,Sheet1!$D$5:$F$192,3,TRUE),1)</f>
        <v>21</v>
      </c>
      <c r="M1565" s="42" t="str">
        <f>VLOOKUP($D1565,Sheet1!$D$5:$F$192,2,TRUE)</f>
        <v>(|~</v>
      </c>
      <c r="N1565" s="23">
        <f>FLOOR(VLOOKUP($D1565,Sheet1!$G$5:$I$192,3,TRUE),1)</f>
        <v>25</v>
      </c>
      <c r="O1565" s="42" t="str">
        <f>VLOOKUP($D1565,Sheet1!$G$5:$I$192,2,TRUE)</f>
        <v>(|~</v>
      </c>
      <c r="P1565" s="23">
        <v>1</v>
      </c>
      <c r="Q1565" s="43" t="str">
        <f>VLOOKUP($D1565,Sheet1!$J$5:$L$192,2,TRUE)</f>
        <v>(|~</v>
      </c>
      <c r="R1565" s="23">
        <f>FLOOR(VLOOKUP($D1565,Sheet1!$M$5:$O$192,3,TRUE),1)</f>
        <v>102</v>
      </c>
      <c r="S1565" s="42" t="str">
        <f>VLOOKUP($D1565,Sheet1!$M$5:$O$192,2,TRUE)</f>
        <v>(|~</v>
      </c>
      <c r="T1565" s="117">
        <f>IF(ABS(D1565-VLOOKUP($D1565,Sheet1!$M$5:$T$192,8,TRUE))&lt;10^-10,"SoCA",D1565-VLOOKUP($D1565,Sheet1!$M$5:$T$192,8,TRUE))</f>
        <v>9.6057462978365038E-2</v>
      </c>
      <c r="U1565" s="109" t="str">
        <f>IF(VLOOKUP($D1565,Sheet1!$M$5:$U$192,9,TRUE)=0,"",IF(ABS(D1565-VLOOKUP($D1565,Sheet1!$M$5:$U$192,9,TRUE))&lt;10^-10,"Alt.",D1565-VLOOKUP($D1565,Sheet1!$M$5:$U$192,9,TRUE)))</f>
        <v/>
      </c>
      <c r="V1565" s="132">
        <f>$D1565-Sheet1!$M$3*$R1565</f>
        <v>0.2232969093501751</v>
      </c>
      <c r="Z1565" s="6"/>
      <c r="AA1565" s="61"/>
    </row>
    <row r="1566" spans="1:27" ht="13.5">
      <c r="A1566" t="s">
        <v>1636</v>
      </c>
      <c r="B1566">
        <v>21141</v>
      </c>
      <c r="C1566">
        <v>21760</v>
      </c>
      <c r="D1566" s="13">
        <f t="shared" si="31"/>
        <v>49.961924019831194</v>
      </c>
      <c r="E1566" s="61">
        <v>29</v>
      </c>
      <c r="F1566" s="65">
        <v>67.821795961411922</v>
      </c>
      <c r="G1566" s="6">
        <v>1544</v>
      </c>
      <c r="H1566" s="6">
        <v>1485</v>
      </c>
      <c r="I1566" s="65">
        <v>-9.0763376831002418</v>
      </c>
      <c r="J1566" s="6">
        <f>VLOOKUP($D1566,Sheet1!$A$5:$C$192,3,TRUE)</f>
        <v>9</v>
      </c>
      <c r="K1566" s="42" t="str">
        <f>VLOOKUP($D1566,Sheet1!$A$5:$C$192,2,TRUE)</f>
        <v>/|)</v>
      </c>
      <c r="L1566" s="6">
        <f>FLOOR(VLOOKUP($D1566,Sheet1!$D$5:$F$192,3,TRUE),1)</f>
        <v>21</v>
      </c>
      <c r="M1566" s="42" t="str">
        <f>VLOOKUP($D1566,Sheet1!$D$5:$F$192,2,TRUE)</f>
        <v>(|~</v>
      </c>
      <c r="N1566" s="23">
        <f>FLOOR(VLOOKUP($D1566,Sheet1!$G$5:$I$192,3,TRUE),1)</f>
        <v>25</v>
      </c>
      <c r="O1566" s="42" t="str">
        <f>VLOOKUP($D1566,Sheet1!$G$5:$I$192,2,TRUE)</f>
        <v>(|~</v>
      </c>
      <c r="P1566" s="23">
        <v>1</v>
      </c>
      <c r="Q1566" s="43" t="str">
        <f>VLOOKUP($D1566,Sheet1!$J$5:$L$192,2,TRUE)</f>
        <v>(|~</v>
      </c>
      <c r="R1566" s="23">
        <f>FLOOR(VLOOKUP($D1566,Sheet1!$M$5:$O$192,3,TRUE),1)</f>
        <v>102</v>
      </c>
      <c r="S1566" s="42" t="str">
        <f>VLOOKUP($D1566,Sheet1!$M$5:$O$192,2,TRUE)</f>
        <v>(|~</v>
      </c>
      <c r="T1566" s="117">
        <f>IF(ABS(D1566-VLOOKUP($D1566,Sheet1!$M$5:$T$192,8,TRUE))&lt;10^-10,"SoCA",D1566-VLOOKUP($D1566,Sheet1!$M$5:$T$192,8,TRUE))</f>
        <v>6.6999518152016435E-2</v>
      </c>
      <c r="U1566" s="109" t="str">
        <f>IF(VLOOKUP($D1566,Sheet1!$M$5:$U$192,9,TRUE)=0,"",IF(ABS(D1566-VLOOKUP($D1566,Sheet1!$M$5:$U$192,9,TRUE))&lt;10^-10,"Alt.",D1566-VLOOKUP($D1566,Sheet1!$M$5:$U$192,9,TRUE)))</f>
        <v/>
      </c>
      <c r="V1566" s="132">
        <f>$D1566-Sheet1!$M$3*$R1566</f>
        <v>0.1942389645238265</v>
      </c>
      <c r="Z1566" s="6"/>
      <c r="AA1566" s="61"/>
    </row>
    <row r="1567" spans="1:27" ht="13.5">
      <c r="A1567" s="6" t="s">
        <v>1038</v>
      </c>
      <c r="B1567" s="6">
        <f>2^4*3^6</f>
        <v>11664</v>
      </c>
      <c r="C1567" s="6">
        <f>5*7^4</f>
        <v>12005</v>
      </c>
      <c r="D1567" s="13">
        <f t="shared" si="31"/>
        <v>49.887334549010113</v>
      </c>
      <c r="E1567" s="61">
        <v>7</v>
      </c>
      <c r="F1567" s="65">
        <v>71.912888273334971</v>
      </c>
      <c r="G1567" s="6">
        <v>604</v>
      </c>
      <c r="H1567" s="6">
        <v>886</v>
      </c>
      <c r="I1567" s="65">
        <v>-9.0717449376375505</v>
      </c>
      <c r="J1567" s="6">
        <f>VLOOKUP($D1567,Sheet1!$A$5:$C$192,3,TRUE)</f>
        <v>9</v>
      </c>
      <c r="K1567" s="42" t="str">
        <f>VLOOKUP($D1567,Sheet1!$A$5:$C$192,2,TRUE)</f>
        <v>/|)</v>
      </c>
      <c r="L1567" s="6">
        <f>FLOOR(VLOOKUP($D1567,Sheet1!$D$5:$F$192,3,TRUE),1)</f>
        <v>21</v>
      </c>
      <c r="M1567" s="42" t="str">
        <f>VLOOKUP($D1567,Sheet1!$D$5:$F$192,2,TRUE)</f>
        <v>(|~</v>
      </c>
      <c r="N1567" s="23">
        <f>FLOOR(VLOOKUP($D1567,Sheet1!$G$5:$I$192,3,TRUE),1)</f>
        <v>25</v>
      </c>
      <c r="O1567" s="42" t="str">
        <f>VLOOKUP($D1567,Sheet1!$G$5:$I$192,2,TRUE)</f>
        <v>(|~</v>
      </c>
      <c r="P1567" s="23">
        <v>1</v>
      </c>
      <c r="Q1567" s="43" t="str">
        <f>VLOOKUP($D1567,Sheet1!$J$5:$L$192,2,TRUE)</f>
        <v>(|~</v>
      </c>
      <c r="R1567" s="23">
        <f>FLOOR(VLOOKUP($D1567,Sheet1!$M$5:$O$192,3,TRUE),1)</f>
        <v>102</v>
      </c>
      <c r="S1567" s="42" t="str">
        <f>VLOOKUP($D1567,Sheet1!$M$5:$O$192,2,TRUE)</f>
        <v>(|~</v>
      </c>
      <c r="T1567" s="117">
        <f>IF(ABS(D1567-VLOOKUP($D1567,Sheet1!$M$5:$T$192,8,TRUE))&lt;10^-10,"SoCA",D1567-VLOOKUP($D1567,Sheet1!$M$5:$T$192,8,TRUE))</f>
        <v>-7.5899526690648145E-3</v>
      </c>
      <c r="U1567" s="109" t="str">
        <f>IF(VLOOKUP($D1567,Sheet1!$M$5:$U$192,9,TRUE)=0,"",IF(ABS(D1567-VLOOKUP($D1567,Sheet1!$M$5:$U$192,9,TRUE))&lt;10^-10,"Alt.",D1567-VLOOKUP($D1567,Sheet1!$M$5:$U$192,9,TRUE)))</f>
        <v/>
      </c>
      <c r="V1567" s="132">
        <f>$D1567-Sheet1!$M$3*$R1567</f>
        <v>0.11964949370274525</v>
      </c>
      <c r="Z1567" s="6"/>
      <c r="AA1567" s="61"/>
    </row>
    <row r="1568" spans="1:27" ht="13.5">
      <c r="A1568" t="s">
        <v>1126</v>
      </c>
      <c r="B1568">
        <v>112640</v>
      </c>
      <c r="C1568">
        <v>115911</v>
      </c>
      <c r="D1568" s="13">
        <f t="shared" si="31"/>
        <v>49.557895303959434</v>
      </c>
      <c r="E1568" s="61" t="s">
        <v>1931</v>
      </c>
      <c r="F1568" s="65">
        <v>84.488869354740302</v>
      </c>
      <c r="G1568" s="6">
        <v>1036</v>
      </c>
      <c r="H1568" s="6">
        <v>975</v>
      </c>
      <c r="I1568" s="65">
        <v>3.9485398368927349</v>
      </c>
      <c r="J1568" s="6">
        <f>VLOOKUP($D1568,Sheet1!$A$5:$C$192,3,TRUE)</f>
        <v>9</v>
      </c>
      <c r="K1568" s="42" t="str">
        <f>VLOOKUP($D1568,Sheet1!$A$5:$C$192,2,TRUE)</f>
        <v>/|)</v>
      </c>
      <c r="L1568" s="6">
        <f>FLOOR(VLOOKUP($D1568,Sheet1!$D$5:$F$192,3,TRUE),1)</f>
        <v>21</v>
      </c>
      <c r="M1568" s="42" t="str">
        <f>VLOOKUP($D1568,Sheet1!$D$5:$F$192,2,TRUE)</f>
        <v>(|~</v>
      </c>
      <c r="N1568" s="23">
        <f>FLOOR(VLOOKUP($D1568,Sheet1!$G$5:$I$192,3,TRUE),1)</f>
        <v>25</v>
      </c>
      <c r="O1568" s="42" t="str">
        <f>VLOOKUP($D1568,Sheet1!$G$5:$I$192,2,TRUE)</f>
        <v>(|~</v>
      </c>
      <c r="P1568" s="23">
        <v>1</v>
      </c>
      <c r="Q1568" s="43" t="str">
        <f>VLOOKUP($D1568,Sheet1!$J$5:$L$192,2,TRUE)</f>
        <v>(|~</v>
      </c>
      <c r="R1568" s="23">
        <f>FLOOR(VLOOKUP($D1568,Sheet1!$M$5:$O$192,3,TRUE),1)</f>
        <v>102</v>
      </c>
      <c r="S1568" s="42" t="str">
        <f>VLOOKUP($D1568,Sheet1!$M$5:$O$192,2,TRUE)</f>
        <v>(|~</v>
      </c>
      <c r="T1568" s="117">
        <f>IF(ABS(D1568-VLOOKUP($D1568,Sheet1!$M$5:$T$192,8,TRUE))&lt;10^-10,"SoCA",D1568-VLOOKUP($D1568,Sheet1!$M$5:$T$192,8,TRUE))</f>
        <v>-0.33702919771974393</v>
      </c>
      <c r="U1568" s="109" t="str">
        <f>IF(VLOOKUP($D1568,Sheet1!$M$5:$U$192,9,TRUE)=0,"",IF(ABS(D1568-VLOOKUP($D1568,Sheet1!$M$5:$U$192,9,TRUE))&lt;10^-10,"Alt.",D1568-VLOOKUP($D1568,Sheet1!$M$5:$U$192,9,TRUE)))</f>
        <v/>
      </c>
      <c r="V1568" s="132">
        <f>$D1568-Sheet1!$M$3*$R1568</f>
        <v>-0.20978975134793387</v>
      </c>
      <c r="Z1568" s="6"/>
      <c r="AA1568" s="61"/>
    </row>
    <row r="1569" spans="1:27" ht="13.5">
      <c r="A1569" t="s">
        <v>698</v>
      </c>
      <c r="B1569">
        <v>10624</v>
      </c>
      <c r="C1569">
        <v>10935</v>
      </c>
      <c r="D1569" s="13">
        <f t="shared" si="31"/>
        <v>49.951402306237021</v>
      </c>
      <c r="E1569" s="61" t="s">
        <v>1931</v>
      </c>
      <c r="F1569" s="65">
        <v>89.779623990080168</v>
      </c>
      <c r="G1569" s="6">
        <v>584</v>
      </c>
      <c r="H1569" s="6">
        <v>543</v>
      </c>
      <c r="I1569" s="65">
        <v>3.9243101771384419</v>
      </c>
      <c r="J1569" s="6">
        <f>VLOOKUP($D1569,Sheet1!$A$5:$C$192,3,TRUE)</f>
        <v>9</v>
      </c>
      <c r="K1569" s="42" t="str">
        <f>VLOOKUP($D1569,Sheet1!$A$5:$C$192,2,TRUE)</f>
        <v>/|)</v>
      </c>
      <c r="L1569" s="6">
        <f>FLOOR(VLOOKUP($D1569,Sheet1!$D$5:$F$192,3,TRUE),1)</f>
        <v>21</v>
      </c>
      <c r="M1569" s="42" t="str">
        <f>VLOOKUP($D1569,Sheet1!$D$5:$F$192,2,TRUE)</f>
        <v>(|~</v>
      </c>
      <c r="N1569" s="23">
        <f>FLOOR(VLOOKUP($D1569,Sheet1!$G$5:$I$192,3,TRUE),1)</f>
        <v>25</v>
      </c>
      <c r="O1569" s="42" t="str">
        <f>VLOOKUP($D1569,Sheet1!$G$5:$I$192,2,TRUE)</f>
        <v>(|~</v>
      </c>
      <c r="P1569" s="23">
        <v>1</v>
      </c>
      <c r="Q1569" s="43" t="str">
        <f>VLOOKUP($D1569,Sheet1!$J$5:$L$192,2,TRUE)</f>
        <v>(|~</v>
      </c>
      <c r="R1569" s="23">
        <f>FLOOR(VLOOKUP($D1569,Sheet1!$M$5:$O$192,3,TRUE),1)</f>
        <v>102</v>
      </c>
      <c r="S1569" s="42" t="str">
        <f>VLOOKUP($D1569,Sheet1!$M$5:$O$192,2,TRUE)</f>
        <v>(|~</v>
      </c>
      <c r="T1569" s="117">
        <f>IF(ABS(D1569-VLOOKUP($D1569,Sheet1!$M$5:$T$192,8,TRUE))&lt;10^-10,"SoCA",D1569-VLOOKUP($D1569,Sheet1!$M$5:$T$192,8,TRUE))</f>
        <v>5.6477804557843569E-2</v>
      </c>
      <c r="U1569" s="109" t="str">
        <f>IF(VLOOKUP($D1569,Sheet1!$M$5:$U$192,9,TRUE)=0,"",IF(ABS(D1569-VLOOKUP($D1569,Sheet1!$M$5:$U$192,9,TRUE))&lt;10^-10,"Alt.",D1569-VLOOKUP($D1569,Sheet1!$M$5:$U$192,9,TRUE)))</f>
        <v/>
      </c>
      <c r="V1569" s="132">
        <f>$D1569-Sheet1!$M$3*$R1569</f>
        <v>0.18371725092965363</v>
      </c>
      <c r="Z1569" s="6"/>
      <c r="AA1569" s="61"/>
    </row>
    <row r="1570" spans="1:27" ht="13.5">
      <c r="A1570" t="s">
        <v>581</v>
      </c>
      <c r="B1570">
        <v>376</v>
      </c>
      <c r="C1570">
        <v>387</v>
      </c>
      <c r="D1570" s="13">
        <f t="shared" si="31"/>
        <v>49.92108536012757</v>
      </c>
      <c r="E1570" s="61">
        <v>47</v>
      </c>
      <c r="F1570" s="65">
        <v>90.076250247006541</v>
      </c>
      <c r="G1570" s="6">
        <v>482</v>
      </c>
      <c r="H1570" s="6">
        <v>426</v>
      </c>
      <c r="I1570" s="65">
        <v>-1.0738230980389512</v>
      </c>
      <c r="J1570" s="6">
        <f>VLOOKUP($D1570,Sheet1!$A$5:$C$192,3,TRUE)</f>
        <v>9</v>
      </c>
      <c r="K1570" s="42" t="str">
        <f>VLOOKUP($D1570,Sheet1!$A$5:$C$192,2,TRUE)</f>
        <v>/|)</v>
      </c>
      <c r="L1570" s="6">
        <f>FLOOR(VLOOKUP($D1570,Sheet1!$D$5:$F$192,3,TRUE),1)</f>
        <v>21</v>
      </c>
      <c r="M1570" s="42" t="str">
        <f>VLOOKUP($D1570,Sheet1!$D$5:$F$192,2,TRUE)</f>
        <v>(|~</v>
      </c>
      <c r="N1570" s="23">
        <f>FLOOR(VLOOKUP($D1570,Sheet1!$G$5:$I$192,3,TRUE),1)</f>
        <v>25</v>
      </c>
      <c r="O1570" s="42" t="str">
        <f>VLOOKUP($D1570,Sheet1!$G$5:$I$192,2,TRUE)</f>
        <v>(|~</v>
      </c>
      <c r="P1570" s="23">
        <v>1</v>
      </c>
      <c r="Q1570" s="43" t="str">
        <f>VLOOKUP($D1570,Sheet1!$J$5:$L$192,2,TRUE)</f>
        <v>(|~</v>
      </c>
      <c r="R1570" s="23">
        <f>FLOOR(VLOOKUP($D1570,Sheet1!$M$5:$O$192,3,TRUE),1)</f>
        <v>102</v>
      </c>
      <c r="S1570" s="42" t="str">
        <f>VLOOKUP($D1570,Sheet1!$M$5:$O$192,2,TRUE)</f>
        <v>(|~</v>
      </c>
      <c r="T1570" s="117">
        <f>IF(ABS(D1570-VLOOKUP($D1570,Sheet1!$M$5:$T$192,8,TRUE))&lt;10^-10,"SoCA",D1570-VLOOKUP($D1570,Sheet1!$M$5:$T$192,8,TRUE))</f>
        <v>2.6160858448392332E-2</v>
      </c>
      <c r="U1570" s="109" t="str">
        <f>IF(VLOOKUP($D1570,Sheet1!$M$5:$U$192,9,TRUE)=0,"",IF(ABS(D1570-VLOOKUP($D1570,Sheet1!$M$5:$U$192,9,TRUE))&lt;10^-10,"Alt.",D1570-VLOOKUP($D1570,Sheet1!$M$5:$U$192,9,TRUE)))</f>
        <v/>
      </c>
      <c r="V1570" s="132">
        <f>$D1570-Sheet1!$M$3*$R1570</f>
        <v>0.15340030482020239</v>
      </c>
      <c r="Z1570" s="6"/>
      <c r="AA1570" s="61"/>
    </row>
    <row r="1571" spans="1:27" ht="13.5">
      <c r="A1571" s="6" t="s">
        <v>1841</v>
      </c>
      <c r="B1571">
        <v>242757</v>
      </c>
      <c r="C1571">
        <v>249856</v>
      </c>
      <c r="D1571" s="13">
        <f t="shared" ref="D1571:D1602" si="32">1200*LN($C1571/$B1571)/LN(2)</f>
        <v>49.900759397624569</v>
      </c>
      <c r="E1571" s="61" t="s">
        <v>1931</v>
      </c>
      <c r="F1571" s="65">
        <v>128.65106847749729</v>
      </c>
      <c r="G1571" s="59">
        <v>1651</v>
      </c>
      <c r="H1571" s="63">
        <v>1000046</v>
      </c>
      <c r="I1571" s="65">
        <v>-11.072571554476127</v>
      </c>
      <c r="J1571" s="6">
        <f>VLOOKUP($D1571,Sheet1!$A$5:$C$192,3,TRUE)</f>
        <v>9</v>
      </c>
      <c r="K1571" s="42" t="str">
        <f>VLOOKUP($D1571,Sheet1!$A$5:$C$192,2,TRUE)</f>
        <v>/|)</v>
      </c>
      <c r="L1571" s="6">
        <f>FLOOR(VLOOKUP($D1571,Sheet1!$D$5:$F$192,3,TRUE),1)</f>
        <v>21</v>
      </c>
      <c r="M1571" s="42" t="str">
        <f>VLOOKUP($D1571,Sheet1!$D$5:$F$192,2,TRUE)</f>
        <v>(|~</v>
      </c>
      <c r="N1571" s="23">
        <f>FLOOR(VLOOKUP($D1571,Sheet1!$G$5:$I$192,3,TRUE),1)</f>
        <v>25</v>
      </c>
      <c r="O1571" s="42" t="str">
        <f>VLOOKUP($D1571,Sheet1!$G$5:$I$192,2,TRUE)</f>
        <v>(|~</v>
      </c>
      <c r="P1571" s="23">
        <v>1</v>
      </c>
      <c r="Q1571" s="43" t="str">
        <f>VLOOKUP($D1571,Sheet1!$J$5:$L$192,2,TRUE)</f>
        <v>(|~</v>
      </c>
      <c r="R1571" s="23">
        <f>FLOOR(VLOOKUP($D1571,Sheet1!$M$5:$O$192,3,TRUE),1)</f>
        <v>102</v>
      </c>
      <c r="S1571" s="42" t="str">
        <f>VLOOKUP($D1571,Sheet1!$M$5:$O$192,2,TRUE)</f>
        <v>(|~</v>
      </c>
      <c r="T1571" s="117">
        <f>IF(ABS(D1571-VLOOKUP($D1571,Sheet1!$M$5:$T$192,8,TRUE))&lt;10^-10,"SoCA",D1571-VLOOKUP($D1571,Sheet1!$M$5:$T$192,8,TRUE))</f>
        <v>5.8348959453908833E-3</v>
      </c>
      <c r="U1571" s="109" t="str">
        <f>IF(VLOOKUP($D1571,Sheet1!$M$5:$U$192,9,TRUE)=0,"",IF(ABS(D1571-VLOOKUP($D1571,Sheet1!$M$5:$U$192,9,TRUE))&lt;10^-10,"Alt.",D1571-VLOOKUP($D1571,Sheet1!$M$5:$U$192,9,TRUE)))</f>
        <v/>
      </c>
      <c r="V1571" s="132">
        <f>$D1571-Sheet1!$M$3*$R1571</f>
        <v>0.13307434231720094</v>
      </c>
      <c r="Z1571" s="6"/>
      <c r="AA1571" s="61"/>
    </row>
    <row r="1572" spans="1:27" ht="13.5">
      <c r="A1572" s="6" t="s">
        <v>1865</v>
      </c>
      <c r="B1572">
        <v>6561</v>
      </c>
      <c r="C1572">
        <v>6752</v>
      </c>
      <c r="D1572" s="13">
        <f t="shared" si="32"/>
        <v>49.679019525522939</v>
      </c>
      <c r="E1572" s="61" t="s">
        <v>1931</v>
      </c>
      <c r="F1572" s="65">
        <v>288.58326033417649</v>
      </c>
      <c r="G1572" s="59">
        <v>1701</v>
      </c>
      <c r="H1572" s="63">
        <v>1000070</v>
      </c>
      <c r="I1572" s="65">
        <v>-11.058918222708494</v>
      </c>
      <c r="J1572" s="6">
        <f>VLOOKUP($D1572,Sheet1!$A$5:$C$192,3,TRUE)</f>
        <v>9</v>
      </c>
      <c r="K1572" s="42" t="str">
        <f>VLOOKUP($D1572,Sheet1!$A$5:$C$192,2,TRUE)</f>
        <v>/|)</v>
      </c>
      <c r="L1572" s="6">
        <f>FLOOR(VLOOKUP($D1572,Sheet1!$D$5:$F$192,3,TRUE),1)</f>
        <v>21</v>
      </c>
      <c r="M1572" s="42" t="str">
        <f>VLOOKUP($D1572,Sheet1!$D$5:$F$192,2,TRUE)</f>
        <v>(|~</v>
      </c>
      <c r="N1572" s="23">
        <f>FLOOR(VLOOKUP($D1572,Sheet1!$G$5:$I$192,3,TRUE),1)</f>
        <v>25</v>
      </c>
      <c r="O1572" s="42" t="str">
        <f>VLOOKUP($D1572,Sheet1!$G$5:$I$192,2,TRUE)</f>
        <v>(|~</v>
      </c>
      <c r="P1572" s="23">
        <v>1</v>
      </c>
      <c r="Q1572" s="43" t="str">
        <f>VLOOKUP($D1572,Sheet1!$J$5:$L$192,2,TRUE)</f>
        <v>(|~</v>
      </c>
      <c r="R1572" s="23">
        <f>FLOOR(VLOOKUP($D1572,Sheet1!$M$5:$O$192,3,TRUE),1)</f>
        <v>102</v>
      </c>
      <c r="S1572" s="42" t="str">
        <f>VLOOKUP($D1572,Sheet1!$M$5:$O$192,2,TRUE)</f>
        <v>(|~</v>
      </c>
      <c r="T1572" s="117">
        <f>IF(ABS(D1572-VLOOKUP($D1572,Sheet1!$M$5:$T$192,8,TRUE))&lt;10^-10,"SoCA",D1572-VLOOKUP($D1572,Sheet1!$M$5:$T$192,8,TRUE))</f>
        <v>-0.2159049761562386</v>
      </c>
      <c r="U1572" s="109" t="str">
        <f>IF(VLOOKUP($D1572,Sheet1!$M$5:$U$192,9,TRUE)=0,"",IF(ABS(D1572-VLOOKUP($D1572,Sheet1!$M$5:$U$192,9,TRUE))&lt;10^-10,"Alt.",D1572-VLOOKUP($D1572,Sheet1!$M$5:$U$192,9,TRUE)))</f>
        <v/>
      </c>
      <c r="V1572" s="132">
        <f>$D1572-Sheet1!$M$3*$R1572</f>
        <v>-8.8665529784428543E-2</v>
      </c>
      <c r="Z1572" s="6"/>
      <c r="AA1572" s="61"/>
    </row>
    <row r="1573" spans="1:27" ht="13.5">
      <c r="A1573" t="s">
        <v>1134</v>
      </c>
      <c r="B1573">
        <v>3750</v>
      </c>
      <c r="C1573">
        <v>3859</v>
      </c>
      <c r="D1573" s="13">
        <f t="shared" si="32"/>
        <v>49.603737924778429</v>
      </c>
      <c r="E1573" s="61" t="s">
        <v>1931</v>
      </c>
      <c r="F1573" s="65">
        <v>369.88706415801289</v>
      </c>
      <c r="G1573" s="6">
        <v>1042</v>
      </c>
      <c r="H1573" s="6">
        <v>983</v>
      </c>
      <c r="I1573" s="65">
        <v>-4.0542828602848502</v>
      </c>
      <c r="J1573" s="6">
        <f>VLOOKUP($D1573,Sheet1!$A$5:$C$192,3,TRUE)</f>
        <v>9</v>
      </c>
      <c r="K1573" s="42" t="str">
        <f>VLOOKUP($D1573,Sheet1!$A$5:$C$192,2,TRUE)</f>
        <v>/|)</v>
      </c>
      <c r="L1573" s="6">
        <f>FLOOR(VLOOKUP($D1573,Sheet1!$D$5:$F$192,3,TRUE),1)</f>
        <v>21</v>
      </c>
      <c r="M1573" s="42" t="str">
        <f>VLOOKUP($D1573,Sheet1!$D$5:$F$192,2,TRUE)</f>
        <v>(|~</v>
      </c>
      <c r="N1573" s="23">
        <f>FLOOR(VLOOKUP($D1573,Sheet1!$G$5:$I$192,3,TRUE),1)</f>
        <v>25</v>
      </c>
      <c r="O1573" s="42" t="str">
        <f>VLOOKUP($D1573,Sheet1!$G$5:$I$192,2,TRUE)</f>
        <v>(|~</v>
      </c>
      <c r="P1573" s="23">
        <v>1</v>
      </c>
      <c r="Q1573" s="43" t="str">
        <f>VLOOKUP($D1573,Sheet1!$J$5:$L$192,2,TRUE)</f>
        <v>(|~</v>
      </c>
      <c r="R1573" s="23">
        <f>FLOOR(VLOOKUP($D1573,Sheet1!$M$5:$O$192,3,TRUE),1)</f>
        <v>102</v>
      </c>
      <c r="S1573" s="42" t="str">
        <f>VLOOKUP($D1573,Sheet1!$M$5:$O$192,2,TRUE)</f>
        <v>(|~</v>
      </c>
      <c r="T1573" s="117">
        <f>IF(ABS(D1573-VLOOKUP($D1573,Sheet1!$M$5:$T$192,8,TRUE))&lt;10^-10,"SoCA",D1573-VLOOKUP($D1573,Sheet1!$M$5:$T$192,8,TRUE))</f>
        <v>-0.29118657690074912</v>
      </c>
      <c r="U1573" s="109" t="str">
        <f>IF(VLOOKUP($D1573,Sheet1!$M$5:$U$192,9,TRUE)=0,"",IF(ABS(D1573-VLOOKUP($D1573,Sheet1!$M$5:$U$192,9,TRUE))&lt;10^-10,"Alt.",D1573-VLOOKUP($D1573,Sheet1!$M$5:$U$192,9,TRUE)))</f>
        <v/>
      </c>
      <c r="V1573" s="132">
        <f>$D1573-Sheet1!$M$3*$R1573</f>
        <v>-0.16394713052893906</v>
      </c>
      <c r="Z1573" s="6"/>
      <c r="AA1573" s="61"/>
    </row>
    <row r="1574" spans="1:27" ht="13.5">
      <c r="A1574" t="s">
        <v>1227</v>
      </c>
      <c r="B1574">
        <v>5625</v>
      </c>
      <c r="C1574">
        <v>5789</v>
      </c>
      <c r="D1574" s="13">
        <f t="shared" si="32"/>
        <v>49.753272284540536</v>
      </c>
      <c r="E1574" s="61" t="s">
        <v>1931</v>
      </c>
      <c r="F1574" s="65">
        <v>1196.298276271961</v>
      </c>
      <c r="G1574" s="6">
        <v>1137</v>
      </c>
      <c r="H1574" s="6">
        <v>1076</v>
      </c>
      <c r="I1574" s="65">
        <v>-5.0634902355987368</v>
      </c>
      <c r="J1574" s="6">
        <f>VLOOKUP($D1574,Sheet1!$A$5:$C$192,3,TRUE)</f>
        <v>9</v>
      </c>
      <c r="K1574" s="42" t="str">
        <f>VLOOKUP($D1574,Sheet1!$A$5:$C$192,2,TRUE)</f>
        <v>/|)</v>
      </c>
      <c r="L1574" s="6">
        <f>FLOOR(VLOOKUP($D1574,Sheet1!$D$5:$F$192,3,TRUE),1)</f>
        <v>21</v>
      </c>
      <c r="M1574" s="42" t="str">
        <f>VLOOKUP($D1574,Sheet1!$D$5:$F$192,2,TRUE)</f>
        <v>(|~</v>
      </c>
      <c r="N1574" s="23">
        <f>FLOOR(VLOOKUP($D1574,Sheet1!$G$5:$I$192,3,TRUE),1)</f>
        <v>25</v>
      </c>
      <c r="O1574" s="42" t="str">
        <f>VLOOKUP($D1574,Sheet1!$G$5:$I$192,2,TRUE)</f>
        <v>(|~</v>
      </c>
      <c r="P1574" s="23">
        <v>1</v>
      </c>
      <c r="Q1574" s="43" t="str">
        <f>VLOOKUP($D1574,Sheet1!$J$5:$L$192,2,TRUE)</f>
        <v>(|~</v>
      </c>
      <c r="R1574" s="23">
        <f>FLOOR(VLOOKUP($D1574,Sheet1!$M$5:$O$192,3,TRUE),1)</f>
        <v>102</v>
      </c>
      <c r="S1574" s="42" t="str">
        <f>VLOOKUP($D1574,Sheet1!$M$5:$O$192,2,TRUE)</f>
        <v>(|~</v>
      </c>
      <c r="T1574" s="117">
        <f>IF(ABS(D1574-VLOOKUP($D1574,Sheet1!$M$5:$T$192,8,TRUE))&lt;10^-10,"SoCA",D1574-VLOOKUP($D1574,Sheet1!$M$5:$T$192,8,TRUE))</f>
        <v>-0.14165221713864184</v>
      </c>
      <c r="U1574" s="109" t="str">
        <f>IF(VLOOKUP($D1574,Sheet1!$M$5:$U$192,9,TRUE)=0,"",IF(ABS(D1574-VLOOKUP($D1574,Sheet1!$M$5:$U$192,9,TRUE))&lt;10^-10,"Alt.",D1574-VLOOKUP($D1574,Sheet1!$M$5:$U$192,9,TRUE)))</f>
        <v/>
      </c>
      <c r="V1574" s="132">
        <f>$D1574-Sheet1!$M$3*$R1574</f>
        <v>-1.4412770766831784E-2</v>
      </c>
      <c r="Z1574" s="6"/>
      <c r="AA1574" s="61"/>
    </row>
    <row r="1575" spans="1:27" ht="13.5">
      <c r="A1575" s="23" t="s">
        <v>197</v>
      </c>
      <c r="B1575" s="23">
        <f>2*17</f>
        <v>34</v>
      </c>
      <c r="C1575" s="23">
        <f>5*7</f>
        <v>35</v>
      </c>
      <c r="D1575" s="13">
        <f t="shared" si="32"/>
        <v>50.184210833552278</v>
      </c>
      <c r="E1575" s="61">
        <v>17</v>
      </c>
      <c r="F1575" s="65">
        <v>34.89025211639445</v>
      </c>
      <c r="G1575" s="6">
        <v>200</v>
      </c>
      <c r="H1575" s="6">
        <v>186</v>
      </c>
      <c r="I1575" s="65">
        <v>-3.0900246920560011</v>
      </c>
      <c r="J1575" s="6">
        <f>VLOOKUP($D1575,Sheet1!$A$5:$C$192,3,TRUE)</f>
        <v>9</v>
      </c>
      <c r="K1575" s="42" t="str">
        <f>VLOOKUP($D1575,Sheet1!$A$5:$C$192,2,TRUE)</f>
        <v>/|)</v>
      </c>
      <c r="L1575" s="6">
        <f>FLOOR(VLOOKUP($D1575,Sheet1!$D$5:$F$192,3,TRUE),1)</f>
        <v>21</v>
      </c>
      <c r="M1575" s="42" t="str">
        <f>VLOOKUP($D1575,Sheet1!$D$5:$F$192,2,TRUE)</f>
        <v>(|~</v>
      </c>
      <c r="N1575" s="23">
        <f>FLOOR(VLOOKUP($D1575,Sheet1!$G$5:$I$192,3,TRUE),1)</f>
        <v>26</v>
      </c>
      <c r="O1575" s="42" t="str">
        <f>VLOOKUP($D1575,Sheet1!$G$5:$I$192,2,TRUE)</f>
        <v>'/|)</v>
      </c>
      <c r="P1575" s="23">
        <v>1</v>
      </c>
      <c r="Q1575" s="43" t="str">
        <f>VLOOKUP($D1575,Sheet1!$J$5:$L$192,2,TRUE)</f>
        <v>'/|).</v>
      </c>
      <c r="R1575" s="23">
        <f>FLOOR(VLOOKUP($D1575,Sheet1!$M$5:$O$192,3,TRUE),1)</f>
        <v>103</v>
      </c>
      <c r="S1575" s="43" t="str">
        <f>VLOOKUP($D1575,Sheet1!$M$5:$O$192,2,TRUE)</f>
        <v>'/|).</v>
      </c>
      <c r="T1575" s="117">
        <f>IF(ABS(D1575-VLOOKUP($D1575,Sheet1!$M$5:$T$192,8,TRUE))&lt;10^-10,"SoCA",D1575-VLOOKUP($D1575,Sheet1!$M$5:$T$192,8,TRUE))</f>
        <v>-0.11717518524197601</v>
      </c>
      <c r="U1575" s="117">
        <f>IF(VLOOKUP($D1575,Sheet1!$M$5:$U$192,9,TRUE)=0,"",IF(ABS(D1575-VLOOKUP($D1575,Sheet1!$M$5:$U$192,9,TRUE))&lt;10^-10,"Alt.",D1575-VLOOKUP($D1575,Sheet1!$M$5:$U$192,9,TRUE)))</f>
        <v>-0.14413548044441171</v>
      </c>
      <c r="V1575" s="132">
        <f>$D1575-Sheet1!$M$3*$R1575</f>
        <v>-7.1392702689472287E-2</v>
      </c>
      <c r="Z1575" s="6"/>
      <c r="AA1575" s="61"/>
    </row>
    <row r="1576" spans="1:27" ht="13.5">
      <c r="A1576" s="6" t="s">
        <v>438</v>
      </c>
      <c r="B1576" s="6">
        <f>3^5*11</f>
        <v>2673</v>
      </c>
      <c r="C1576" s="6">
        <f>2^6*43</f>
        <v>2752</v>
      </c>
      <c r="D1576" s="13">
        <f t="shared" si="32"/>
        <v>50.424758950823694</v>
      </c>
      <c r="E1576" s="61">
        <v>43</v>
      </c>
      <c r="F1576" s="65">
        <v>57.416683658883201</v>
      </c>
      <c r="G1576" s="6">
        <v>251</v>
      </c>
      <c r="H1576" s="6">
        <v>276</v>
      </c>
      <c r="I1576" s="65">
        <v>-8.1048361160009073</v>
      </c>
      <c r="J1576" s="6">
        <f>VLOOKUP($D1576,Sheet1!$A$5:$C$192,3,TRUE)</f>
        <v>9</v>
      </c>
      <c r="K1576" s="42" t="str">
        <f>VLOOKUP($D1576,Sheet1!$A$5:$C$192,2,TRUE)</f>
        <v>/|)</v>
      </c>
      <c r="L1576" s="6">
        <f>FLOOR(VLOOKUP($D1576,Sheet1!$D$5:$F$192,3,TRUE),1)</f>
        <v>21</v>
      </c>
      <c r="M1576" s="42" t="str">
        <f>VLOOKUP($D1576,Sheet1!$D$5:$F$192,2,TRUE)</f>
        <v>(|~</v>
      </c>
      <c r="N1576" s="23">
        <f>FLOOR(VLOOKUP($D1576,Sheet1!$G$5:$I$192,3,TRUE),1)</f>
        <v>26</v>
      </c>
      <c r="O1576" s="42" t="str">
        <f>VLOOKUP($D1576,Sheet1!$G$5:$I$192,2,TRUE)</f>
        <v>'/|)</v>
      </c>
      <c r="P1576" s="23">
        <v>1</v>
      </c>
      <c r="Q1576" s="43" t="str">
        <f>VLOOKUP($D1576,Sheet1!$J$5:$L$192,2,TRUE)</f>
        <v>'/|).</v>
      </c>
      <c r="R1576" s="23">
        <f>FLOOR(VLOOKUP($D1576,Sheet1!$M$5:$O$192,3,TRUE),1)</f>
        <v>103</v>
      </c>
      <c r="S1576" s="42" t="str">
        <f>VLOOKUP($D1576,Sheet1!$M$5:$O$192,2,TRUE)</f>
        <v>'/|).</v>
      </c>
      <c r="T1576" s="117">
        <f>IF(ABS(D1576-VLOOKUP($D1576,Sheet1!$M$5:$T$192,8,TRUE))&lt;10^-10,"SoCA",D1576-VLOOKUP($D1576,Sheet1!$M$5:$T$192,8,TRUE))</f>
        <v>0.12337293202944011</v>
      </c>
      <c r="U1576" s="109">
        <f>IF(VLOOKUP($D1576,Sheet1!$M$5:$U$192,9,TRUE)=0,"",IF(ABS(D1576-VLOOKUP($D1576,Sheet1!$M$5:$U$192,9,TRUE))&lt;10^-10,"Alt.",D1576-VLOOKUP($D1576,Sheet1!$M$5:$U$192,9,TRUE)))</f>
        <v>9.6412636827004405E-2</v>
      </c>
      <c r="V1576" s="132">
        <f>$D1576-Sheet1!$M$3*$R1576</f>
        <v>0.16915541458194383</v>
      </c>
      <c r="Z1576" s="6"/>
      <c r="AA1576" s="61"/>
    </row>
    <row r="1577" spans="1:27" ht="13.5">
      <c r="A1577" s="38" t="s">
        <v>353</v>
      </c>
      <c r="B1577" s="38">
        <f>2^25</f>
        <v>33554432</v>
      </c>
      <c r="C1577" s="38">
        <f>3^12*5*13</f>
        <v>34543665</v>
      </c>
      <c r="D1577" s="13">
        <f t="shared" si="32"/>
        <v>50.301386018794425</v>
      </c>
      <c r="E1577" s="61">
        <v>13</v>
      </c>
      <c r="F1577" s="65">
        <v>63.053304691262682</v>
      </c>
      <c r="G1577" s="6">
        <v>153.1</v>
      </c>
      <c r="H1577" s="6">
        <v>188.1</v>
      </c>
      <c r="I1577" s="65">
        <v>8.9027604048961972</v>
      </c>
      <c r="J1577" s="6">
        <f>VLOOKUP($D1577,Sheet1!$A$5:$C$192,3,TRUE)</f>
        <v>9</v>
      </c>
      <c r="K1577" s="42" t="str">
        <f>VLOOKUP($D1577,Sheet1!$A$5:$C$192,2,TRUE)</f>
        <v>/|)</v>
      </c>
      <c r="L1577" s="6">
        <f>FLOOR(VLOOKUP($D1577,Sheet1!$D$5:$F$192,3,TRUE),1)</f>
        <v>21</v>
      </c>
      <c r="M1577" s="42" t="str">
        <f>VLOOKUP($D1577,Sheet1!$D$5:$F$192,2,TRUE)</f>
        <v>(|~</v>
      </c>
      <c r="N1577" s="23">
        <f>FLOOR(VLOOKUP($D1577,Sheet1!$G$5:$I$192,3,TRUE),1)</f>
        <v>26</v>
      </c>
      <c r="O1577" s="42" t="str">
        <f>VLOOKUP($D1577,Sheet1!$G$5:$I$192,2,TRUE)</f>
        <v>'/|)</v>
      </c>
      <c r="P1577" s="23">
        <v>1</v>
      </c>
      <c r="Q1577" s="45" t="str">
        <f>VLOOKUP($D1577,Sheet1!$J$5:$L$192,2,TRUE)</f>
        <v>'/|).</v>
      </c>
      <c r="R1577" s="38">
        <f>FLOOR(VLOOKUP($D1577,Sheet1!$M$5:$O$192,3,TRUE),1)</f>
        <v>103</v>
      </c>
      <c r="S1577" s="45" t="str">
        <f>VLOOKUP($D1577,Sheet1!$M$5:$O$192,2,TRUE)</f>
        <v>'/|).</v>
      </c>
      <c r="T1577" s="112" t="str">
        <f>IF(ABS(D1577-VLOOKUP($D1577,Sheet1!$M$5:$T$192,8,TRUE))&lt;10^-10,"SoCA",D1577-VLOOKUP($D1577,Sheet1!$M$5:$T$192,8,TRUE))</f>
        <v>SoCA</v>
      </c>
      <c r="U1577" s="108">
        <f>IF(VLOOKUP($D1577,Sheet1!$M$5:$U$192,9,TRUE)=0,"",IF(ABS(D1577-VLOOKUP($D1577,Sheet1!$M$5:$U$192,9,TRUE))&lt;10^-10,"Alt.",D1577-VLOOKUP($D1577,Sheet1!$M$5:$U$192,9,TRUE)))</f>
        <v>-2.6960295202265172E-2</v>
      </c>
      <c r="V1577" s="133">
        <f>$D1577-Sheet1!$M$3*$R1577</f>
        <v>4.5782482552674253E-2</v>
      </c>
      <c r="Z1577" s="6"/>
      <c r="AA1577" s="61"/>
    </row>
    <row r="1578" spans="1:27" ht="13.5">
      <c r="A1578" s="6" t="s">
        <v>1867</v>
      </c>
      <c r="B1578" s="6">
        <f>3^8*13</f>
        <v>85293</v>
      </c>
      <c r="C1578" s="6">
        <f>2^8*7^3</f>
        <v>87808</v>
      </c>
      <c r="D1578" s="13">
        <f t="shared" si="32"/>
        <v>50.310050714965037</v>
      </c>
      <c r="E1578" s="61">
        <v>13</v>
      </c>
      <c r="F1578" s="65">
        <v>71.826816476250528</v>
      </c>
      <c r="G1578" s="59">
        <v>1703</v>
      </c>
      <c r="H1578" s="63">
        <v>1000072</v>
      </c>
      <c r="I1578" s="65">
        <v>-11.097773112014234</v>
      </c>
      <c r="J1578" s="6">
        <f>VLOOKUP($D1578,Sheet1!$A$5:$C$192,3,TRUE)</f>
        <v>9</v>
      </c>
      <c r="K1578" s="42" t="str">
        <f>VLOOKUP($D1578,Sheet1!$A$5:$C$192,2,TRUE)</f>
        <v>/|)</v>
      </c>
      <c r="L1578" s="6">
        <f>FLOOR(VLOOKUP($D1578,Sheet1!$D$5:$F$192,3,TRUE),1)</f>
        <v>21</v>
      </c>
      <c r="M1578" s="42" t="str">
        <f>VLOOKUP($D1578,Sheet1!$D$5:$F$192,2,TRUE)</f>
        <v>(|~</v>
      </c>
      <c r="N1578" s="23">
        <f>FLOOR(VLOOKUP($D1578,Sheet1!$G$5:$I$192,3,TRUE),1)</f>
        <v>26</v>
      </c>
      <c r="O1578" s="42" t="str">
        <f>VLOOKUP($D1578,Sheet1!$G$5:$I$192,2,TRUE)</f>
        <v>'/|)</v>
      </c>
      <c r="P1578" s="23">
        <v>1</v>
      </c>
      <c r="Q1578" s="43" t="str">
        <f>VLOOKUP($D1578,Sheet1!$J$5:$L$192,2,TRUE)</f>
        <v>'/|).</v>
      </c>
      <c r="R1578" s="23">
        <f>FLOOR(VLOOKUP($D1578,Sheet1!$M$5:$O$192,3,TRUE),1)</f>
        <v>103</v>
      </c>
      <c r="S1578" s="42" t="str">
        <f>VLOOKUP($D1578,Sheet1!$M$5:$O$192,2,TRUE)</f>
        <v>'/|).</v>
      </c>
      <c r="T1578" s="117">
        <f>IF(ABS(D1578-VLOOKUP($D1578,Sheet1!$M$5:$T$192,8,TRUE))&lt;10^-10,"SoCA",D1578-VLOOKUP($D1578,Sheet1!$M$5:$T$192,8,TRUE))</f>
        <v>8.6646961707828041E-3</v>
      </c>
      <c r="U1578" s="109">
        <f>IF(VLOOKUP($D1578,Sheet1!$M$5:$U$192,9,TRUE)=0,"",IF(ABS(D1578-VLOOKUP($D1578,Sheet1!$M$5:$U$192,9,TRUE))&lt;10^-10,"Alt.",D1578-VLOOKUP($D1578,Sheet1!$M$5:$U$192,9,TRUE)))</f>
        <v>-1.8295599031652898E-2</v>
      </c>
      <c r="V1578" s="132">
        <f>$D1578-Sheet1!$M$3*$R1578</f>
        <v>5.4447178723286527E-2</v>
      </c>
      <c r="Z1578" s="6"/>
      <c r="AA1578" s="61"/>
    </row>
    <row r="1579" spans="1:27" ht="13.5">
      <c r="A1579" s="6" t="s">
        <v>1842</v>
      </c>
      <c r="B1579">
        <v>17826237</v>
      </c>
      <c r="C1579">
        <v>18350080</v>
      </c>
      <c r="D1579" s="13">
        <f t="shared" si="32"/>
        <v>50.14099314449038</v>
      </c>
      <c r="E1579" s="61">
        <v>19</v>
      </c>
      <c r="F1579" s="65">
        <v>93.157584022823229</v>
      </c>
      <c r="G1579" s="59">
        <v>1654</v>
      </c>
      <c r="H1579" s="63">
        <v>1000047</v>
      </c>
      <c r="I1579" s="65">
        <v>-11.087363621489846</v>
      </c>
      <c r="J1579" s="6">
        <f>VLOOKUP($D1579,Sheet1!$A$5:$C$192,3,TRUE)</f>
        <v>9</v>
      </c>
      <c r="K1579" s="42" t="str">
        <f>VLOOKUP($D1579,Sheet1!$A$5:$C$192,2,TRUE)</f>
        <v>/|)</v>
      </c>
      <c r="L1579" s="6">
        <f>FLOOR(VLOOKUP($D1579,Sheet1!$D$5:$F$192,3,TRUE),1)</f>
        <v>21</v>
      </c>
      <c r="M1579" s="42" t="str">
        <f>VLOOKUP($D1579,Sheet1!$D$5:$F$192,2,TRUE)</f>
        <v>(|~</v>
      </c>
      <c r="N1579" s="23">
        <f>FLOOR(VLOOKUP($D1579,Sheet1!$G$5:$I$192,3,TRUE),1)</f>
        <v>26</v>
      </c>
      <c r="O1579" s="42" t="str">
        <f>VLOOKUP($D1579,Sheet1!$G$5:$I$192,2,TRUE)</f>
        <v>'/|)</v>
      </c>
      <c r="P1579" s="23">
        <v>1</v>
      </c>
      <c r="Q1579" s="43" t="str">
        <f>VLOOKUP($D1579,Sheet1!$J$5:$L$192,2,TRUE)</f>
        <v>'/|).</v>
      </c>
      <c r="R1579" s="23">
        <f>FLOOR(VLOOKUP($D1579,Sheet1!$M$5:$O$192,3,TRUE),1)</f>
        <v>103</v>
      </c>
      <c r="S1579" s="42" t="str">
        <f>VLOOKUP($D1579,Sheet1!$M$5:$O$192,2,TRUE)</f>
        <v>'/|).</v>
      </c>
      <c r="T1579" s="117">
        <f>IF(ABS(D1579-VLOOKUP($D1579,Sheet1!$M$5:$T$192,8,TRUE))&lt;10^-10,"SoCA",D1579-VLOOKUP($D1579,Sheet1!$M$5:$T$192,8,TRUE))</f>
        <v>-0.16039287430387361</v>
      </c>
      <c r="U1579" s="109">
        <f>IF(VLOOKUP($D1579,Sheet1!$M$5:$U$192,9,TRUE)=0,"",IF(ABS(D1579-VLOOKUP($D1579,Sheet1!$M$5:$U$192,9,TRUE))&lt;10^-10,"Alt.",D1579-VLOOKUP($D1579,Sheet1!$M$5:$U$192,9,TRUE)))</f>
        <v>-0.18735316950630931</v>
      </c>
      <c r="V1579" s="132">
        <f>$D1579-Sheet1!$M$3*$R1579</f>
        <v>-0.11461039175136989</v>
      </c>
      <c r="Z1579" s="6"/>
      <c r="AA1579" s="61"/>
    </row>
    <row r="1580" spans="1:27" ht="13.5">
      <c r="A1580" t="s">
        <v>945</v>
      </c>
      <c r="B1580">
        <v>1457</v>
      </c>
      <c r="C1580">
        <v>1500</v>
      </c>
      <c r="D1580" s="13">
        <f t="shared" si="32"/>
        <v>50.353947982476612</v>
      </c>
      <c r="E1580" s="61">
        <v>47</v>
      </c>
      <c r="F1580" s="65">
        <v>111.67909954484966</v>
      </c>
      <c r="G1580" s="6">
        <v>855</v>
      </c>
      <c r="H1580" s="6">
        <v>793</v>
      </c>
      <c r="I1580" s="65">
        <v>-2.1004760267013736</v>
      </c>
      <c r="J1580" s="6">
        <f>VLOOKUP($D1580,Sheet1!$A$5:$C$192,3,TRUE)</f>
        <v>9</v>
      </c>
      <c r="K1580" s="42" t="str">
        <f>VLOOKUP($D1580,Sheet1!$A$5:$C$192,2,TRUE)</f>
        <v>/|)</v>
      </c>
      <c r="L1580" s="6">
        <f>FLOOR(VLOOKUP($D1580,Sheet1!$D$5:$F$192,3,TRUE),1)</f>
        <v>21</v>
      </c>
      <c r="M1580" s="42" t="str">
        <f>VLOOKUP($D1580,Sheet1!$D$5:$F$192,2,TRUE)</f>
        <v>(|~</v>
      </c>
      <c r="N1580" s="23">
        <f>FLOOR(VLOOKUP($D1580,Sheet1!$G$5:$I$192,3,TRUE),1)</f>
        <v>26</v>
      </c>
      <c r="O1580" s="42" t="str">
        <f>VLOOKUP($D1580,Sheet1!$G$5:$I$192,2,TRUE)</f>
        <v>'/|)</v>
      </c>
      <c r="P1580" s="23">
        <v>1</v>
      </c>
      <c r="Q1580" s="43" t="str">
        <f>VLOOKUP($D1580,Sheet1!$J$5:$L$192,2,TRUE)</f>
        <v>'/|).</v>
      </c>
      <c r="R1580" s="23">
        <f>FLOOR(VLOOKUP($D1580,Sheet1!$M$5:$O$192,3,TRUE),1)</f>
        <v>103</v>
      </c>
      <c r="S1580" s="42" t="str">
        <f>VLOOKUP($D1580,Sheet1!$M$5:$O$192,2,TRUE)</f>
        <v>'/|).</v>
      </c>
      <c r="T1580" s="117">
        <f>IF(ABS(D1580-VLOOKUP($D1580,Sheet1!$M$5:$T$192,8,TRUE))&lt;10^-10,"SoCA",D1580-VLOOKUP($D1580,Sheet1!$M$5:$T$192,8,TRUE))</f>
        <v>5.2561963682357771E-2</v>
      </c>
      <c r="U1580" s="109">
        <f>IF(VLOOKUP($D1580,Sheet1!$M$5:$U$192,9,TRUE)=0,"",IF(ABS(D1580-VLOOKUP($D1580,Sheet1!$M$5:$U$192,9,TRUE))&lt;10^-10,"Alt.",D1580-VLOOKUP($D1580,Sheet1!$M$5:$U$192,9,TRUE)))</f>
        <v>2.5601668479922068E-2</v>
      </c>
      <c r="V1580" s="132">
        <f>$D1580-Sheet1!$M$3*$R1580</f>
        <v>9.8344446234861493E-2</v>
      </c>
      <c r="Z1580" s="6"/>
      <c r="AA1580" s="61"/>
    </row>
    <row r="1581" spans="1:27" ht="13.5">
      <c r="A1581" t="s">
        <v>1137</v>
      </c>
      <c r="B1581">
        <v>237</v>
      </c>
      <c r="C1581">
        <v>244</v>
      </c>
      <c r="D1581" s="13">
        <f t="shared" si="32"/>
        <v>50.39290639755275</v>
      </c>
      <c r="E1581" s="61" t="s">
        <v>1931</v>
      </c>
      <c r="F1581" s="65">
        <v>140.26258397323943</v>
      </c>
      <c r="G1581" s="6">
        <v>1044</v>
      </c>
      <c r="H1581" s="6">
        <v>986</v>
      </c>
      <c r="I1581" s="65">
        <v>-4.1028748382508446</v>
      </c>
      <c r="J1581" s="6">
        <f>VLOOKUP($D1581,Sheet1!$A$5:$C$192,3,TRUE)</f>
        <v>9</v>
      </c>
      <c r="K1581" s="42" t="str">
        <f>VLOOKUP($D1581,Sheet1!$A$5:$C$192,2,TRUE)</f>
        <v>/|)</v>
      </c>
      <c r="L1581" s="6">
        <f>FLOOR(VLOOKUP($D1581,Sheet1!$D$5:$F$192,3,TRUE),1)</f>
        <v>21</v>
      </c>
      <c r="M1581" s="42" t="str">
        <f>VLOOKUP($D1581,Sheet1!$D$5:$F$192,2,TRUE)</f>
        <v>(|~</v>
      </c>
      <c r="N1581" s="23">
        <f>FLOOR(VLOOKUP($D1581,Sheet1!$G$5:$I$192,3,TRUE),1)</f>
        <v>26</v>
      </c>
      <c r="O1581" s="42" t="str">
        <f>VLOOKUP($D1581,Sheet1!$G$5:$I$192,2,TRUE)</f>
        <v>'/|)</v>
      </c>
      <c r="P1581" s="23">
        <v>1</v>
      </c>
      <c r="Q1581" s="43" t="str">
        <f>VLOOKUP($D1581,Sheet1!$J$5:$L$192,2,TRUE)</f>
        <v>'/|).</v>
      </c>
      <c r="R1581" s="23">
        <f>FLOOR(VLOOKUP($D1581,Sheet1!$M$5:$O$192,3,TRUE),1)</f>
        <v>103</v>
      </c>
      <c r="S1581" s="42" t="str">
        <f>VLOOKUP($D1581,Sheet1!$M$5:$O$192,2,TRUE)</f>
        <v>'/|).</v>
      </c>
      <c r="T1581" s="117">
        <f>IF(ABS(D1581-VLOOKUP($D1581,Sheet1!$M$5:$T$192,8,TRUE))&lt;10^-10,"SoCA",D1581-VLOOKUP($D1581,Sheet1!$M$5:$T$192,8,TRUE))</f>
        <v>9.1520378758495724E-2</v>
      </c>
      <c r="U1581" s="109">
        <f>IF(VLOOKUP($D1581,Sheet1!$M$5:$U$192,9,TRUE)=0,"",IF(ABS(D1581-VLOOKUP($D1581,Sheet1!$M$5:$U$192,9,TRUE))&lt;10^-10,"Alt.",D1581-VLOOKUP($D1581,Sheet1!$M$5:$U$192,9,TRUE)))</f>
        <v>6.4560083556060022E-2</v>
      </c>
      <c r="V1581" s="132">
        <f>$D1581-Sheet1!$M$3*$R1581</f>
        <v>0.13730286131099945</v>
      </c>
      <c r="Z1581" s="6"/>
      <c r="AA1581" s="61"/>
    </row>
    <row r="1582" spans="1:27" ht="13.5">
      <c r="A1582" s="17" t="s">
        <v>1984</v>
      </c>
      <c r="B1582" s="23">
        <f>3^9*19</f>
        <v>373977</v>
      </c>
      <c r="C1582" s="23">
        <f>2^3*5^4*7*11</f>
        <v>385000</v>
      </c>
      <c r="D1582" s="13">
        <f t="shared" si="32"/>
        <v>50.290680372431446</v>
      </c>
      <c r="E1582" s="22">
        <v>19</v>
      </c>
      <c r="F1582" s="65">
        <v>169.09258193426678</v>
      </c>
      <c r="G1582" s="18">
        <v>2000000</v>
      </c>
      <c r="H1582" s="18">
        <v>2000000</v>
      </c>
      <c r="I1582" s="65">
        <v>-12.09658040945444</v>
      </c>
      <c r="J1582" s="6">
        <f>VLOOKUP($D1582,Sheet1!$A$5:$C$192,3,TRUE)</f>
        <v>9</v>
      </c>
      <c r="K1582" s="42" t="str">
        <f>VLOOKUP($D1582,Sheet1!$A$5:$C$192,2,TRUE)</f>
        <v>/|)</v>
      </c>
      <c r="L1582" s="6">
        <f>FLOOR(VLOOKUP($D1582,Sheet1!$D$5:$F$192,3,TRUE),1)</f>
        <v>21</v>
      </c>
      <c r="M1582" s="42" t="str">
        <f>VLOOKUP($D1582,Sheet1!$D$5:$F$192,2,TRUE)</f>
        <v>(|~</v>
      </c>
      <c r="N1582" s="23">
        <f>FLOOR(VLOOKUP($D1582,Sheet1!$G$5:$I$192,3,TRUE),1)</f>
        <v>26</v>
      </c>
      <c r="O1582" s="42" t="str">
        <f>VLOOKUP($D1582,Sheet1!$G$5:$I$192,2,TRUE)</f>
        <v>'/|)</v>
      </c>
      <c r="P1582" s="23">
        <v>1</v>
      </c>
      <c r="Q1582" s="43" t="str">
        <f>VLOOKUP($D1582,Sheet1!$J$5:$L$192,2,TRUE)</f>
        <v>'/|).</v>
      </c>
      <c r="R1582" s="23">
        <f>FLOOR(VLOOKUP($D1582,Sheet1!$M$5:$O$192,3,TRUE),1)</f>
        <v>103</v>
      </c>
      <c r="S1582" s="43" t="str">
        <f>VLOOKUP($D1582,Sheet1!$M$5:$O$192,2,TRUE)</f>
        <v>'/|).</v>
      </c>
      <c r="T1582" s="117">
        <f>IF(ABS(D1582-VLOOKUP($D1582,Sheet1!$M$5:$T$192,8,TRUE))&lt;10^-10,"SoCA",D1582-VLOOKUP($D1582,Sheet1!$M$5:$T$192,8,TRUE))</f>
        <v>-1.0705646362808352E-2</v>
      </c>
      <c r="U1582" s="117">
        <f>IF(VLOOKUP($D1582,Sheet1!$M$5:$U$192,9,TRUE)=0,"",IF(ABS(D1582-VLOOKUP($D1582,Sheet1!$M$5:$U$192,9,TRUE))&lt;10^-10,"Alt.",D1582-VLOOKUP($D1582,Sheet1!$M$5:$U$192,9,TRUE)))</f>
        <v>-3.7665941565244054E-2</v>
      </c>
      <c r="V1582" s="132">
        <f>$D1582-Sheet1!$M$3*$R1582</f>
        <v>3.5076836189695371E-2</v>
      </c>
      <c r="Z1582" s="6"/>
      <c r="AA1582" s="61"/>
    </row>
    <row r="1583" spans="1:27" ht="13.5">
      <c r="A1583" t="s">
        <v>1423</v>
      </c>
      <c r="B1583">
        <v>155439</v>
      </c>
      <c r="C1583">
        <v>160000</v>
      </c>
      <c r="D1583" s="13">
        <f t="shared" si="32"/>
        <v>50.068056563333172</v>
      </c>
      <c r="E1583" s="61" t="s">
        <v>1931</v>
      </c>
      <c r="F1583" s="65">
        <v>198.07476369743856</v>
      </c>
      <c r="G1583" s="6">
        <v>1340</v>
      </c>
      <c r="H1583" s="6">
        <v>1272</v>
      </c>
      <c r="I1583" s="65">
        <v>-7.082872650465565</v>
      </c>
      <c r="J1583" s="6">
        <f>VLOOKUP($D1583,Sheet1!$A$5:$C$192,3,TRUE)</f>
        <v>9</v>
      </c>
      <c r="K1583" s="42" t="str">
        <f>VLOOKUP($D1583,Sheet1!$A$5:$C$192,2,TRUE)</f>
        <v>/|)</v>
      </c>
      <c r="L1583" s="6">
        <f>FLOOR(VLOOKUP($D1583,Sheet1!$D$5:$F$192,3,TRUE),1)</f>
        <v>21</v>
      </c>
      <c r="M1583" s="42" t="str">
        <f>VLOOKUP($D1583,Sheet1!$D$5:$F$192,2,TRUE)</f>
        <v>(|~</v>
      </c>
      <c r="N1583" s="23">
        <f>FLOOR(VLOOKUP($D1583,Sheet1!$G$5:$I$192,3,TRUE),1)</f>
        <v>26</v>
      </c>
      <c r="O1583" s="42" t="str">
        <f>VLOOKUP($D1583,Sheet1!$G$5:$I$192,2,TRUE)</f>
        <v>'/|)</v>
      </c>
      <c r="P1583" s="23">
        <v>1</v>
      </c>
      <c r="Q1583" s="43" t="str">
        <f>VLOOKUP($D1583,Sheet1!$J$5:$L$192,2,TRUE)</f>
        <v>'/|).</v>
      </c>
      <c r="R1583" s="23">
        <f>FLOOR(VLOOKUP($D1583,Sheet1!$M$5:$O$192,3,TRUE),1)</f>
        <v>103</v>
      </c>
      <c r="S1583" s="42" t="str">
        <f>VLOOKUP($D1583,Sheet1!$M$5:$O$192,2,TRUE)</f>
        <v>'/|).</v>
      </c>
      <c r="T1583" s="117">
        <f>IF(ABS(D1583-VLOOKUP($D1583,Sheet1!$M$5:$T$192,8,TRUE))&lt;10^-10,"SoCA",D1583-VLOOKUP($D1583,Sheet1!$M$5:$T$192,8,TRUE))</f>
        <v>-0.23332945546108164</v>
      </c>
      <c r="U1583" s="109">
        <f>IF(VLOOKUP($D1583,Sheet1!$M$5:$U$192,9,TRUE)=0,"",IF(ABS(D1583-VLOOKUP($D1583,Sheet1!$M$5:$U$192,9,TRUE))&lt;10^-10,"Alt.",D1583-VLOOKUP($D1583,Sheet1!$M$5:$U$192,9,TRUE)))</f>
        <v>-0.26028975066351734</v>
      </c>
      <c r="V1583" s="132">
        <f>$D1583-Sheet1!$M$3*$R1583</f>
        <v>-0.18754697290857791</v>
      </c>
      <c r="Z1583" s="6"/>
      <c r="AA1583" s="61"/>
    </row>
    <row r="1584" spans="1:27" ht="13.5">
      <c r="A1584" s="48" t="s">
        <v>199</v>
      </c>
      <c r="B1584" s="48">
        <f>2^13*7</f>
        <v>57344</v>
      </c>
      <c r="C1584" s="48">
        <f>3^10</f>
        <v>59049</v>
      </c>
      <c r="D1584" s="51">
        <f t="shared" si="32"/>
        <v>50.724102184749405</v>
      </c>
      <c r="E1584" s="61">
        <v>7</v>
      </c>
      <c r="F1584" s="65">
        <v>15.327907369330333</v>
      </c>
      <c r="G1584" s="6">
        <v>6.1</v>
      </c>
      <c r="H1584" s="6">
        <v>6.1</v>
      </c>
      <c r="I1584" s="65">
        <v>6.8767322305195115</v>
      </c>
      <c r="J1584" s="6">
        <f>VLOOKUP($D1584,Sheet1!$A$5:$C$192,3,TRUE)</f>
        <v>9</v>
      </c>
      <c r="K1584" s="42" t="str">
        <f>VLOOKUP($D1584,Sheet1!$A$5:$C$192,2,TRUE)</f>
        <v>/|)</v>
      </c>
      <c r="L1584" s="6">
        <f>FLOOR(VLOOKUP($D1584,Sheet1!$D$5:$F$192,3,TRUE),1)</f>
        <v>21</v>
      </c>
      <c r="M1584" s="42" t="str">
        <f>VLOOKUP($D1584,Sheet1!$D$5:$F$192,2,TRUE)</f>
        <v>(|~</v>
      </c>
      <c r="N1584" s="39">
        <f>FLOOR(VLOOKUP($D1584,Sheet1!$G$5:$I$192,3,TRUE),1)</f>
        <v>26</v>
      </c>
      <c r="O1584" s="44" t="str">
        <f>VLOOKUP($D1584,Sheet1!$G$5:$I$192,2,TRUE)</f>
        <v>'/|)</v>
      </c>
      <c r="P1584" s="39">
        <v>1</v>
      </c>
      <c r="Q1584" s="44" t="str">
        <f>VLOOKUP($D1584,Sheet1!$J$5:$L$192,2,TRUE)</f>
        <v>'/|)</v>
      </c>
      <c r="R1584" s="39">
        <f>FLOOR(VLOOKUP($D1584,Sheet1!$M$5:$O$192,3,TRUE),1)</f>
        <v>104</v>
      </c>
      <c r="S1584" s="44" t="str">
        <f>VLOOKUP($D1584,Sheet1!$M$5:$O$192,2,TRUE)</f>
        <v>'/|)</v>
      </c>
      <c r="T1584" s="113" t="str">
        <f>IF(ABS(D1584-VLOOKUP($D1584,Sheet1!$M$5:$T$192,8,TRUE))&lt;10^-10,"SoCA",D1584-VLOOKUP($D1584,Sheet1!$M$5:$T$192,8,TRUE))</f>
        <v>SoCA</v>
      </c>
      <c r="U1584" s="118" t="str">
        <f>IF(VLOOKUP($D1584,Sheet1!$M$5:$U$192,9,TRUE)=0,"",IF(ABS(D1584-VLOOKUP($D1584,Sheet1!$M$5:$U$192,9,TRUE))&lt;10^-10,"Alt.",D1584-VLOOKUP($D1584,Sheet1!$M$5:$U$192,9,TRUE)))</f>
        <v/>
      </c>
      <c r="V1584" s="136">
        <f>$D1584-Sheet1!$M$3*$R1584</f>
        <v>-1.9419832426734729E-2</v>
      </c>
      <c r="Z1584" s="6"/>
      <c r="AA1584" s="61"/>
    </row>
    <row r="1585" spans="1:27" ht="13.5">
      <c r="A1585" s="6" t="s">
        <v>639</v>
      </c>
      <c r="B1585" s="6">
        <f>3^2*13*17</f>
        <v>1989</v>
      </c>
      <c r="C1585" s="6">
        <f>2^11</f>
        <v>2048</v>
      </c>
      <c r="D1585" s="13">
        <f t="shared" si="32"/>
        <v>50.60692699950711</v>
      </c>
      <c r="E1585" s="61">
        <v>17</v>
      </c>
      <c r="F1585" s="65">
        <v>42.370282000384933</v>
      </c>
      <c r="G1585" s="6">
        <v>501</v>
      </c>
      <c r="H1585" s="6">
        <v>484</v>
      </c>
      <c r="I1585" s="65">
        <v>-5.1160528664326792</v>
      </c>
      <c r="J1585" s="6">
        <f>VLOOKUP($D1585,Sheet1!$A$5:$C$192,3,TRUE)</f>
        <v>9</v>
      </c>
      <c r="K1585" s="42" t="str">
        <f>VLOOKUP($D1585,Sheet1!$A$5:$C$192,2,TRUE)</f>
        <v>/|)</v>
      </c>
      <c r="L1585" s="6">
        <f>FLOOR(VLOOKUP($D1585,Sheet1!$D$5:$F$192,3,TRUE),1)</f>
        <v>21</v>
      </c>
      <c r="M1585" s="42" t="str">
        <f>VLOOKUP($D1585,Sheet1!$D$5:$F$192,2,TRUE)</f>
        <v>(|~</v>
      </c>
      <c r="N1585" s="23">
        <f>FLOOR(VLOOKUP($D1585,Sheet1!$G$5:$I$192,3,TRUE),1)</f>
        <v>26</v>
      </c>
      <c r="O1585" s="42" t="str">
        <f>VLOOKUP($D1585,Sheet1!$G$5:$I$192,2,TRUE)</f>
        <v>'/|)</v>
      </c>
      <c r="P1585" s="23">
        <v>1</v>
      </c>
      <c r="Q1585" s="43" t="str">
        <f>VLOOKUP($D1585,Sheet1!$J$5:$L$192,2,TRUE)</f>
        <v>'/|)</v>
      </c>
      <c r="R1585" s="23">
        <f>FLOOR(VLOOKUP($D1585,Sheet1!$M$5:$O$192,3,TRUE),1)</f>
        <v>104</v>
      </c>
      <c r="S1585" s="42" t="str">
        <f>VLOOKUP($D1585,Sheet1!$M$5:$O$192,2,TRUE)</f>
        <v>'/|)</v>
      </c>
      <c r="T1585" s="117">
        <f>IF(ABS(D1585-VLOOKUP($D1585,Sheet1!$M$5:$T$192,8,TRUE))&lt;10^-10,"SoCA",D1585-VLOOKUP($D1585,Sheet1!$M$5:$T$192,8,TRUE))</f>
        <v>-0.1171751852419689</v>
      </c>
      <c r="U1585" s="109" t="str">
        <f>IF(VLOOKUP($D1585,Sheet1!$M$5:$U$192,9,TRUE)=0,"",IF(ABS(D1585-VLOOKUP($D1585,Sheet1!$M$5:$U$192,9,TRUE))&lt;10^-10,"Alt.",D1585-VLOOKUP($D1585,Sheet1!$M$5:$U$192,9,TRUE)))</f>
        <v/>
      </c>
      <c r="V1585" s="132">
        <f>$D1585-Sheet1!$M$3*$R1585</f>
        <v>-0.13659501766903048</v>
      </c>
      <c r="Z1585" s="6"/>
      <c r="AA1585" s="61"/>
    </row>
    <row r="1586" spans="1:27" ht="13.5">
      <c r="A1586" s="6" t="s">
        <v>833</v>
      </c>
      <c r="B1586" s="6">
        <f>19*23</f>
        <v>437</v>
      </c>
      <c r="C1586" s="6">
        <f>2*3^2*5^2</f>
        <v>450</v>
      </c>
      <c r="D1586" s="13">
        <f t="shared" si="32"/>
        <v>50.750066059726464</v>
      </c>
      <c r="E1586" s="61">
        <v>23</v>
      </c>
      <c r="F1586" s="65">
        <v>52.06810092050344</v>
      </c>
      <c r="G1586" s="6">
        <v>757</v>
      </c>
      <c r="H1586" s="6">
        <v>680</v>
      </c>
      <c r="I1586" s="65">
        <v>-1.1248664598543732</v>
      </c>
      <c r="J1586" s="6">
        <f>VLOOKUP($D1586,Sheet1!$A$5:$C$192,3,TRUE)</f>
        <v>9</v>
      </c>
      <c r="K1586" s="42" t="str">
        <f>VLOOKUP($D1586,Sheet1!$A$5:$C$192,2,TRUE)</f>
        <v>/|)</v>
      </c>
      <c r="L1586" s="6">
        <f>FLOOR(VLOOKUP($D1586,Sheet1!$D$5:$F$192,3,TRUE),1)</f>
        <v>21</v>
      </c>
      <c r="M1586" s="42" t="str">
        <f>VLOOKUP($D1586,Sheet1!$D$5:$F$192,2,TRUE)</f>
        <v>(|~</v>
      </c>
      <c r="N1586" s="23">
        <f>FLOOR(VLOOKUP($D1586,Sheet1!$G$5:$I$192,3,TRUE),1)</f>
        <v>26</v>
      </c>
      <c r="O1586" s="42" t="str">
        <f>VLOOKUP($D1586,Sheet1!$G$5:$I$192,2,TRUE)</f>
        <v>'/|)</v>
      </c>
      <c r="P1586" s="23">
        <v>1</v>
      </c>
      <c r="Q1586" s="43" t="str">
        <f>VLOOKUP($D1586,Sheet1!$J$5:$L$192,2,TRUE)</f>
        <v>'/|)</v>
      </c>
      <c r="R1586" s="23">
        <f>FLOOR(VLOOKUP($D1586,Sheet1!$M$5:$O$192,3,TRUE),1)</f>
        <v>104</v>
      </c>
      <c r="S1586" s="42" t="str">
        <f>VLOOKUP($D1586,Sheet1!$M$5:$O$192,2,TRUE)</f>
        <v>'/|)</v>
      </c>
      <c r="T1586" s="117">
        <f>IF(ABS(D1586-VLOOKUP($D1586,Sheet1!$M$5:$T$192,8,TRUE))&lt;10^-10,"SoCA",D1586-VLOOKUP($D1586,Sheet1!$M$5:$T$192,8,TRUE))</f>
        <v>2.5963874977385615E-2</v>
      </c>
      <c r="U1586" s="109" t="str">
        <f>IF(VLOOKUP($D1586,Sheet1!$M$5:$U$192,9,TRUE)=0,"",IF(ABS(D1586-VLOOKUP($D1586,Sheet1!$M$5:$U$192,9,TRUE))&lt;10^-10,"Alt.",D1586-VLOOKUP($D1586,Sheet1!$M$5:$U$192,9,TRUE)))</f>
        <v/>
      </c>
      <c r="V1586" s="132">
        <f>$D1586-Sheet1!$M$3*$R1586</f>
        <v>6.5440425503240363E-3</v>
      </c>
      <c r="Z1586" s="6"/>
      <c r="AA1586" s="61"/>
    </row>
    <row r="1587" spans="1:27" ht="13.5">
      <c r="A1587" s="23" t="s">
        <v>628</v>
      </c>
      <c r="B1587" s="23">
        <f>2^2*3^5</f>
        <v>972</v>
      </c>
      <c r="C1587" s="23">
        <f>7*11*13</f>
        <v>1001</v>
      </c>
      <c r="D1587" s="13">
        <f t="shared" si="32"/>
        <v>50.896506276255245</v>
      </c>
      <c r="E1587" s="61">
        <v>13</v>
      </c>
      <c r="F1587" s="65">
        <v>52.621879207612224</v>
      </c>
      <c r="G1587" s="6">
        <v>409</v>
      </c>
      <c r="H1587" s="6">
        <v>473</v>
      </c>
      <c r="I1587" s="65">
        <v>-8.1338833174968066</v>
      </c>
      <c r="J1587" s="6">
        <f>VLOOKUP($D1587,Sheet1!$A$5:$C$192,3,TRUE)</f>
        <v>9</v>
      </c>
      <c r="K1587" s="42" t="str">
        <f>VLOOKUP($D1587,Sheet1!$A$5:$C$192,2,TRUE)</f>
        <v>/|)</v>
      </c>
      <c r="L1587" s="6">
        <f>FLOOR(VLOOKUP($D1587,Sheet1!$D$5:$F$192,3,TRUE),1)</f>
        <v>21</v>
      </c>
      <c r="M1587" s="42" t="str">
        <f>VLOOKUP($D1587,Sheet1!$D$5:$F$192,2,TRUE)</f>
        <v>(|~</v>
      </c>
      <c r="N1587" s="23">
        <f>FLOOR(VLOOKUP($D1587,Sheet1!$G$5:$I$192,3,TRUE),1)</f>
        <v>26</v>
      </c>
      <c r="O1587" s="42" t="str">
        <f>VLOOKUP($D1587,Sheet1!$G$5:$I$192,2,TRUE)</f>
        <v>'/|)</v>
      </c>
      <c r="P1587" s="23">
        <v>1</v>
      </c>
      <c r="Q1587" s="43" t="str">
        <f>VLOOKUP($D1587,Sheet1!$J$5:$L$192,2,TRUE)</f>
        <v>'/|)</v>
      </c>
      <c r="R1587" s="23">
        <f>FLOOR(VLOOKUP($D1587,Sheet1!$M$5:$O$192,3,TRUE),1)</f>
        <v>104</v>
      </c>
      <c r="S1587" s="43" t="str">
        <f>VLOOKUP($D1587,Sheet1!$M$5:$O$192,2,TRUE)</f>
        <v>'/|)</v>
      </c>
      <c r="T1587" s="117">
        <f>IF(ABS(D1587-VLOOKUP($D1587,Sheet1!$M$5:$T$192,8,TRUE))&lt;10^-10,"SoCA",D1587-VLOOKUP($D1587,Sheet1!$M$5:$T$192,8,TRUE))</f>
        <v>0.17240409150616642</v>
      </c>
      <c r="U1587" s="117" t="str">
        <f>IF(VLOOKUP($D1587,Sheet1!$M$5:$U$192,9,TRUE)=0,"",IF(ABS(D1587-VLOOKUP($D1587,Sheet1!$M$5:$U$192,9,TRUE))&lt;10^-10,"Alt.",D1587-VLOOKUP($D1587,Sheet1!$M$5:$U$192,9,TRUE)))</f>
        <v/>
      </c>
      <c r="V1587" s="132">
        <f>$D1587-Sheet1!$M$3*$R1587</f>
        <v>0.15298425907910485</v>
      </c>
      <c r="Z1587" s="6"/>
      <c r="AA1587" s="61"/>
    </row>
    <row r="1588" spans="1:27" ht="13.5">
      <c r="A1588" s="6" t="s">
        <v>1427</v>
      </c>
      <c r="B1588" s="6">
        <f>3^4*5^3*11</f>
        <v>111375</v>
      </c>
      <c r="C1588" s="6">
        <f>2^14*7</f>
        <v>114688</v>
      </c>
      <c r="D1588" s="13">
        <f t="shared" si="32"/>
        <v>50.746819048314038</v>
      </c>
      <c r="E1588" s="61">
        <v>11</v>
      </c>
      <c r="F1588" s="65">
        <v>54.327582927623141</v>
      </c>
      <c r="G1588" s="6">
        <v>1345</v>
      </c>
      <c r="H1588" s="6">
        <v>1276</v>
      </c>
      <c r="I1588" s="65">
        <v>-7.1246665295322034</v>
      </c>
      <c r="J1588" s="6">
        <f>VLOOKUP($D1588,Sheet1!$A$5:$C$192,3,TRUE)</f>
        <v>9</v>
      </c>
      <c r="K1588" s="42" t="str">
        <f>VLOOKUP($D1588,Sheet1!$A$5:$C$192,2,TRUE)</f>
        <v>/|)</v>
      </c>
      <c r="L1588" s="6">
        <f>FLOOR(VLOOKUP($D1588,Sheet1!$D$5:$F$192,3,TRUE),1)</f>
        <v>21</v>
      </c>
      <c r="M1588" s="42" t="str">
        <f>VLOOKUP($D1588,Sheet1!$D$5:$F$192,2,TRUE)</f>
        <v>(|~</v>
      </c>
      <c r="N1588" s="23">
        <f>FLOOR(VLOOKUP($D1588,Sheet1!$G$5:$I$192,3,TRUE),1)</f>
        <v>26</v>
      </c>
      <c r="O1588" s="42" t="str">
        <f>VLOOKUP($D1588,Sheet1!$G$5:$I$192,2,TRUE)</f>
        <v>'/|)</v>
      </c>
      <c r="P1588" s="23">
        <v>1</v>
      </c>
      <c r="Q1588" s="43" t="str">
        <f>VLOOKUP($D1588,Sheet1!$J$5:$L$192,2,TRUE)</f>
        <v>'/|)</v>
      </c>
      <c r="R1588" s="23">
        <f>FLOOR(VLOOKUP($D1588,Sheet1!$M$5:$O$192,3,TRUE),1)</f>
        <v>104</v>
      </c>
      <c r="S1588" s="42" t="str">
        <f>VLOOKUP($D1588,Sheet1!$M$5:$O$192,2,TRUE)</f>
        <v>'/|)</v>
      </c>
      <c r="T1588" s="117">
        <f>IF(ABS(D1588-VLOOKUP($D1588,Sheet1!$M$5:$T$192,8,TRUE))&lt;10^-10,"SoCA",D1588-VLOOKUP($D1588,Sheet1!$M$5:$T$192,8,TRUE))</f>
        <v>2.2716863564959056E-2</v>
      </c>
      <c r="U1588" s="109" t="str">
        <f>IF(VLOOKUP($D1588,Sheet1!$M$5:$U$192,9,TRUE)=0,"",IF(ABS(D1588-VLOOKUP($D1588,Sheet1!$M$5:$U$192,9,TRUE))&lt;10^-10,"Alt.",D1588-VLOOKUP($D1588,Sheet1!$M$5:$U$192,9,TRUE)))</f>
        <v/>
      </c>
      <c r="V1588" s="132">
        <f>$D1588-Sheet1!$M$3*$R1588</f>
        <v>3.297031137897477E-3</v>
      </c>
      <c r="Z1588" s="6"/>
      <c r="AA1588" s="61"/>
    </row>
    <row r="1589" spans="1:27" ht="13.5">
      <c r="A1589" s="6" t="s">
        <v>808</v>
      </c>
      <c r="B1589" s="6">
        <f>11^2*13</f>
        <v>1573</v>
      </c>
      <c r="C1589" s="6">
        <f>2^2*3^4*5</f>
        <v>1620</v>
      </c>
      <c r="D1589" s="13">
        <f t="shared" si="32"/>
        <v>50.970170827560629</v>
      </c>
      <c r="E1589" s="61">
        <v>13</v>
      </c>
      <c r="F1589" s="65">
        <v>56.18394213246448</v>
      </c>
      <c r="G1589" s="6">
        <v>744.1</v>
      </c>
      <c r="H1589" s="6">
        <v>655.1</v>
      </c>
      <c r="I1589" s="65">
        <v>0.86158088770475016</v>
      </c>
      <c r="J1589" s="6">
        <f>VLOOKUP($D1589,Sheet1!$A$5:$C$192,3,TRUE)</f>
        <v>9</v>
      </c>
      <c r="K1589" s="42" t="str">
        <f>VLOOKUP($D1589,Sheet1!$A$5:$C$192,2,TRUE)</f>
        <v>/|)</v>
      </c>
      <c r="L1589" s="6">
        <f>FLOOR(VLOOKUP($D1589,Sheet1!$D$5:$F$192,3,TRUE),1)</f>
        <v>21</v>
      </c>
      <c r="M1589" s="42" t="str">
        <f>VLOOKUP($D1589,Sheet1!$D$5:$F$192,2,TRUE)</f>
        <v>(|~</v>
      </c>
      <c r="N1589" s="23">
        <f>FLOOR(VLOOKUP($D1589,Sheet1!$G$5:$I$192,3,TRUE),1)</f>
        <v>26</v>
      </c>
      <c r="O1589" s="42" t="str">
        <f>VLOOKUP($D1589,Sheet1!$G$5:$I$192,2,TRUE)</f>
        <v>'/|)</v>
      </c>
      <c r="P1589" s="23">
        <v>1</v>
      </c>
      <c r="Q1589" s="43" t="str">
        <f>VLOOKUP($D1589,Sheet1!$J$5:$L$192,2,TRUE)</f>
        <v>'/|)</v>
      </c>
      <c r="R1589" s="23">
        <f>FLOOR(VLOOKUP($D1589,Sheet1!$M$5:$O$192,3,TRUE),1)</f>
        <v>104</v>
      </c>
      <c r="S1589" s="42" t="str">
        <f>VLOOKUP($D1589,Sheet1!$M$5:$O$192,2,TRUE)</f>
        <v>'/|)</v>
      </c>
      <c r="T1589" s="117">
        <f>IF(ABS(D1589-VLOOKUP($D1589,Sheet1!$M$5:$T$192,8,TRUE))&lt;10^-10,"SoCA",D1589-VLOOKUP($D1589,Sheet1!$M$5:$T$192,8,TRUE))</f>
        <v>0.24606864281155083</v>
      </c>
      <c r="U1589" s="109" t="str">
        <f>IF(VLOOKUP($D1589,Sheet1!$M$5:$U$192,9,TRUE)=0,"",IF(ABS(D1589-VLOOKUP($D1589,Sheet1!$M$5:$U$192,9,TRUE))&lt;10^-10,"Alt.",D1589-VLOOKUP($D1589,Sheet1!$M$5:$U$192,9,TRUE)))</f>
        <v/>
      </c>
      <c r="V1589" s="132">
        <f>$D1589-Sheet1!$M$3*$R1589</f>
        <v>0.22664881038448925</v>
      </c>
      <c r="Z1589" s="6"/>
      <c r="AA1589" s="61"/>
    </row>
    <row r="1590" spans="1:27" ht="13.5">
      <c r="A1590" s="6" t="s">
        <v>294</v>
      </c>
      <c r="B1590" s="6">
        <f>2^2*59</f>
        <v>236</v>
      </c>
      <c r="C1590" s="6">
        <f>3^5</f>
        <v>243</v>
      </c>
      <c r="D1590" s="13">
        <f t="shared" si="32"/>
        <v>50.603345092727452</v>
      </c>
      <c r="E1590" s="61" t="s">
        <v>1931</v>
      </c>
      <c r="F1590" s="65">
        <v>71.20526841653944</v>
      </c>
      <c r="G1590" s="6">
        <v>137</v>
      </c>
      <c r="H1590" s="6">
        <v>120</v>
      </c>
      <c r="I1590" s="65">
        <v>1.8841676846173412</v>
      </c>
      <c r="J1590" s="6">
        <f>VLOOKUP($D1590,Sheet1!$A$5:$C$192,3,TRUE)</f>
        <v>9</v>
      </c>
      <c r="K1590" s="42" t="str">
        <f>VLOOKUP($D1590,Sheet1!$A$5:$C$192,2,TRUE)</f>
        <v>/|)</v>
      </c>
      <c r="L1590" s="6">
        <f>FLOOR(VLOOKUP($D1590,Sheet1!$D$5:$F$192,3,TRUE),1)</f>
        <v>21</v>
      </c>
      <c r="M1590" s="42" t="str">
        <f>VLOOKUP($D1590,Sheet1!$D$5:$F$192,2,TRUE)</f>
        <v>(|~</v>
      </c>
      <c r="N1590" s="23">
        <f>FLOOR(VLOOKUP($D1590,Sheet1!$G$5:$I$192,3,TRUE),1)</f>
        <v>26</v>
      </c>
      <c r="O1590" s="42" t="str">
        <f>VLOOKUP($D1590,Sheet1!$G$5:$I$192,2,TRUE)</f>
        <v>'/|)</v>
      </c>
      <c r="P1590" s="23">
        <v>1</v>
      </c>
      <c r="Q1590" s="43" t="str">
        <f>VLOOKUP($D1590,Sheet1!$J$5:$L$192,2,TRUE)</f>
        <v>'/|)</v>
      </c>
      <c r="R1590" s="23">
        <f>FLOOR(VLOOKUP($D1590,Sheet1!$M$5:$O$192,3,TRUE),1)</f>
        <v>104</v>
      </c>
      <c r="S1590" s="42" t="str">
        <f>VLOOKUP($D1590,Sheet1!$M$5:$O$192,2,TRUE)</f>
        <v>'/|)</v>
      </c>
      <c r="T1590" s="117">
        <f>IF(ABS(D1590-VLOOKUP($D1590,Sheet1!$M$5:$T$192,8,TRUE))&lt;10^-10,"SoCA",D1590-VLOOKUP($D1590,Sheet1!$M$5:$T$192,8,TRUE))</f>
        <v>-0.12075709202162699</v>
      </c>
      <c r="U1590" s="109" t="str">
        <f>IF(VLOOKUP($D1590,Sheet1!$M$5:$U$192,9,TRUE)=0,"",IF(ABS(D1590-VLOOKUP($D1590,Sheet1!$M$5:$U$192,9,TRUE))&lt;10^-10,"Alt.",D1590-VLOOKUP($D1590,Sheet1!$M$5:$U$192,9,TRUE)))</f>
        <v/>
      </c>
      <c r="V1590" s="132">
        <f>$D1590-Sheet1!$M$3*$R1590</f>
        <v>-0.14017692444868857</v>
      </c>
      <c r="Z1590" s="6"/>
      <c r="AA1590" s="61"/>
    </row>
    <row r="1591" spans="1:27" ht="13.5">
      <c r="A1591" t="s">
        <v>511</v>
      </c>
      <c r="B1591">
        <v>67</v>
      </c>
      <c r="C1591">
        <v>69</v>
      </c>
      <c r="D1591" s="13">
        <f t="shared" si="32"/>
        <v>50.922319584476085</v>
      </c>
      <c r="E1591" s="61" t="s">
        <v>1931</v>
      </c>
      <c r="F1591" s="65">
        <v>90.079857381897966</v>
      </c>
      <c r="G1591" s="6">
        <v>386</v>
      </c>
      <c r="H1591" s="6">
        <v>352</v>
      </c>
      <c r="I1591" s="65">
        <v>-2.1354727369269648</v>
      </c>
      <c r="J1591" s="6">
        <f>VLOOKUP($D1591,Sheet1!$A$5:$C$192,3,TRUE)</f>
        <v>9</v>
      </c>
      <c r="K1591" s="42" t="str">
        <f>VLOOKUP($D1591,Sheet1!$A$5:$C$192,2,TRUE)</f>
        <v>/|)</v>
      </c>
      <c r="L1591" s="6">
        <f>FLOOR(VLOOKUP($D1591,Sheet1!$D$5:$F$192,3,TRUE),1)</f>
        <v>21</v>
      </c>
      <c r="M1591" s="42" t="str">
        <f>VLOOKUP($D1591,Sheet1!$D$5:$F$192,2,TRUE)</f>
        <v>(|~</v>
      </c>
      <c r="N1591" s="23">
        <f>FLOOR(VLOOKUP($D1591,Sheet1!$G$5:$I$192,3,TRUE),1)</f>
        <v>26</v>
      </c>
      <c r="O1591" s="42" t="str">
        <f>VLOOKUP($D1591,Sheet1!$G$5:$I$192,2,TRUE)</f>
        <v>'/|)</v>
      </c>
      <c r="P1591" s="23">
        <v>1</v>
      </c>
      <c r="Q1591" s="43" t="str">
        <f>VLOOKUP($D1591,Sheet1!$J$5:$L$192,2,TRUE)</f>
        <v>'/|)</v>
      </c>
      <c r="R1591" s="23">
        <f>FLOOR(VLOOKUP($D1591,Sheet1!$M$5:$O$192,3,TRUE),1)</f>
        <v>104</v>
      </c>
      <c r="S1591" s="42" t="str">
        <f>VLOOKUP($D1591,Sheet1!$M$5:$O$192,2,TRUE)</f>
        <v>'/|)</v>
      </c>
      <c r="T1591" s="117">
        <f>IF(ABS(D1591-VLOOKUP($D1591,Sheet1!$M$5:$T$192,8,TRUE))&lt;10^-10,"SoCA",D1591-VLOOKUP($D1591,Sheet1!$M$5:$T$192,8,TRUE))</f>
        <v>0.19821739972700669</v>
      </c>
      <c r="U1591" s="109" t="str">
        <f>IF(VLOOKUP($D1591,Sheet1!$M$5:$U$192,9,TRUE)=0,"",IF(ABS(D1591-VLOOKUP($D1591,Sheet1!$M$5:$U$192,9,TRUE))&lt;10^-10,"Alt.",D1591-VLOOKUP($D1591,Sheet1!$M$5:$U$192,9,TRUE)))</f>
        <v/>
      </c>
      <c r="V1591" s="132">
        <f>$D1591-Sheet1!$M$3*$R1591</f>
        <v>0.17879756729994511</v>
      </c>
      <c r="Z1591" s="6"/>
      <c r="AA1591" s="61"/>
    </row>
    <row r="1592" spans="1:27" ht="13.5">
      <c r="A1592" t="s">
        <v>1308</v>
      </c>
      <c r="B1592">
        <v>22151168</v>
      </c>
      <c r="C1592">
        <v>22812597</v>
      </c>
      <c r="D1592" s="13">
        <f t="shared" si="32"/>
        <v>50.937505457631666</v>
      </c>
      <c r="E1592" s="61" t="s">
        <v>1931</v>
      </c>
      <c r="F1592" s="65">
        <v>113.37455217481697</v>
      </c>
      <c r="G1592" s="6">
        <v>1216</v>
      </c>
      <c r="H1592" s="6">
        <v>1157</v>
      </c>
      <c r="I1592" s="65">
        <v>5.8635922135376983</v>
      </c>
      <c r="J1592" s="6">
        <f>VLOOKUP($D1592,Sheet1!$A$5:$C$192,3,TRUE)</f>
        <v>9</v>
      </c>
      <c r="K1592" s="42" t="str">
        <f>VLOOKUP($D1592,Sheet1!$A$5:$C$192,2,TRUE)</f>
        <v>/|)</v>
      </c>
      <c r="L1592" s="6">
        <f>FLOOR(VLOOKUP($D1592,Sheet1!$D$5:$F$192,3,TRUE),1)</f>
        <v>21</v>
      </c>
      <c r="M1592" s="42" t="str">
        <f>VLOOKUP($D1592,Sheet1!$D$5:$F$192,2,TRUE)</f>
        <v>(|~</v>
      </c>
      <c r="N1592" s="23">
        <f>FLOOR(VLOOKUP($D1592,Sheet1!$G$5:$I$192,3,TRUE),1)</f>
        <v>26</v>
      </c>
      <c r="O1592" s="42" t="str">
        <f>VLOOKUP($D1592,Sheet1!$G$5:$I$192,2,TRUE)</f>
        <v>'/|)</v>
      </c>
      <c r="P1592" s="23">
        <v>1</v>
      </c>
      <c r="Q1592" s="43" t="str">
        <f>VLOOKUP($D1592,Sheet1!$J$5:$L$192,2,TRUE)</f>
        <v>'/|)</v>
      </c>
      <c r="R1592" s="23">
        <f>FLOOR(VLOOKUP($D1592,Sheet1!$M$5:$O$192,3,TRUE),1)</f>
        <v>104</v>
      </c>
      <c r="S1592" s="42" t="str">
        <f>VLOOKUP($D1592,Sheet1!$M$5:$O$192,2,TRUE)</f>
        <v>'/|)</v>
      </c>
      <c r="T1592" s="117">
        <f>IF(ABS(D1592-VLOOKUP($D1592,Sheet1!$M$5:$T$192,8,TRUE))&lt;10^-10,"SoCA",D1592-VLOOKUP($D1592,Sheet1!$M$5:$T$192,8,TRUE))</f>
        <v>0.2134032728825872</v>
      </c>
      <c r="U1592" s="109" t="str">
        <f>IF(VLOOKUP($D1592,Sheet1!$M$5:$U$192,9,TRUE)=0,"",IF(ABS(D1592-VLOOKUP($D1592,Sheet1!$M$5:$U$192,9,TRUE))&lt;10^-10,"Alt.",D1592-VLOOKUP($D1592,Sheet1!$M$5:$U$192,9,TRUE)))</f>
        <v/>
      </c>
      <c r="V1592" s="132">
        <f>$D1592-Sheet1!$M$3*$R1592</f>
        <v>0.19398344045552562</v>
      </c>
      <c r="Z1592" s="6"/>
      <c r="AA1592" s="61"/>
    </row>
    <row r="1593" spans="1:27" ht="13.5">
      <c r="A1593" t="s">
        <v>665</v>
      </c>
      <c r="B1593">
        <v>101</v>
      </c>
      <c r="C1593">
        <v>104</v>
      </c>
      <c r="D1593" s="13">
        <f t="shared" si="32"/>
        <v>50.673882467156957</v>
      </c>
      <c r="E1593" s="61" t="s">
        <v>1931</v>
      </c>
      <c r="F1593" s="65">
        <v>114.12729512215171</v>
      </c>
      <c r="G1593" s="6">
        <v>556</v>
      </c>
      <c r="H1593" s="6">
        <v>510</v>
      </c>
      <c r="I1593" s="65">
        <v>-3.1201755585079298</v>
      </c>
      <c r="J1593" s="6">
        <f>VLOOKUP($D1593,Sheet1!$A$5:$C$192,3,TRUE)</f>
        <v>9</v>
      </c>
      <c r="K1593" s="42" t="str">
        <f>VLOOKUP($D1593,Sheet1!$A$5:$C$192,2,TRUE)</f>
        <v>/|)</v>
      </c>
      <c r="L1593" s="6">
        <f>FLOOR(VLOOKUP($D1593,Sheet1!$D$5:$F$192,3,TRUE),1)</f>
        <v>21</v>
      </c>
      <c r="M1593" s="42" t="str">
        <f>VLOOKUP($D1593,Sheet1!$D$5:$F$192,2,TRUE)</f>
        <v>(|~</v>
      </c>
      <c r="N1593" s="23">
        <f>FLOOR(VLOOKUP($D1593,Sheet1!$G$5:$I$192,3,TRUE),1)</f>
        <v>26</v>
      </c>
      <c r="O1593" s="42" t="str">
        <f>VLOOKUP($D1593,Sheet1!$G$5:$I$192,2,TRUE)</f>
        <v>'/|)</v>
      </c>
      <c r="P1593" s="23">
        <v>1</v>
      </c>
      <c r="Q1593" s="43" t="str">
        <f>VLOOKUP($D1593,Sheet1!$J$5:$L$192,2,TRUE)</f>
        <v>'/|)</v>
      </c>
      <c r="R1593" s="23">
        <f>FLOOR(VLOOKUP($D1593,Sheet1!$M$5:$O$192,3,TRUE),1)</f>
        <v>104</v>
      </c>
      <c r="S1593" s="42" t="str">
        <f>VLOOKUP($D1593,Sheet1!$M$5:$O$192,2,TRUE)</f>
        <v>'/|)</v>
      </c>
      <c r="T1593" s="117">
        <f>IF(ABS(D1593-VLOOKUP($D1593,Sheet1!$M$5:$T$192,8,TRUE))&lt;10^-10,"SoCA",D1593-VLOOKUP($D1593,Sheet1!$M$5:$T$192,8,TRUE))</f>
        <v>-5.0219717592121071E-2</v>
      </c>
      <c r="U1593" s="109" t="str">
        <f>IF(VLOOKUP($D1593,Sheet1!$M$5:$U$192,9,TRUE)=0,"",IF(ABS(D1593-VLOOKUP($D1593,Sheet1!$M$5:$U$192,9,TRUE))&lt;10^-10,"Alt.",D1593-VLOOKUP($D1593,Sheet1!$M$5:$U$192,9,TRUE)))</f>
        <v/>
      </c>
      <c r="V1593" s="132">
        <f>$D1593-Sheet1!$M$3*$R1593</f>
        <v>-6.963955001918265E-2</v>
      </c>
      <c r="Z1593" s="6"/>
      <c r="AA1593" s="61"/>
    </row>
    <row r="1594" spans="1:27" ht="13.5">
      <c r="A1594" t="s">
        <v>1428</v>
      </c>
      <c r="B1594">
        <v>7209</v>
      </c>
      <c r="C1594">
        <v>7424</v>
      </c>
      <c r="D1594" s="13">
        <f t="shared" si="32"/>
        <v>50.877073531859736</v>
      </c>
      <c r="E1594" s="61" t="s">
        <v>1931</v>
      </c>
      <c r="F1594" s="65">
        <v>120.06727059081594</v>
      </c>
      <c r="G1594" s="6">
        <v>1346</v>
      </c>
      <c r="H1594" s="6">
        <v>1277</v>
      </c>
      <c r="I1594" s="65">
        <v>-7.1326867726270322</v>
      </c>
      <c r="J1594" s="6">
        <f>VLOOKUP($D1594,Sheet1!$A$5:$C$192,3,TRUE)</f>
        <v>9</v>
      </c>
      <c r="K1594" s="42" t="str">
        <f>VLOOKUP($D1594,Sheet1!$A$5:$C$192,2,TRUE)</f>
        <v>/|)</v>
      </c>
      <c r="L1594" s="6">
        <f>FLOOR(VLOOKUP($D1594,Sheet1!$D$5:$F$192,3,TRUE),1)</f>
        <v>21</v>
      </c>
      <c r="M1594" s="42" t="str">
        <f>VLOOKUP($D1594,Sheet1!$D$5:$F$192,2,TRUE)</f>
        <v>(|~</v>
      </c>
      <c r="N1594" s="23">
        <f>FLOOR(VLOOKUP($D1594,Sheet1!$G$5:$I$192,3,TRUE),1)</f>
        <v>26</v>
      </c>
      <c r="O1594" s="42" t="str">
        <f>VLOOKUP($D1594,Sheet1!$G$5:$I$192,2,TRUE)</f>
        <v>'/|)</v>
      </c>
      <c r="P1594" s="23">
        <v>1</v>
      </c>
      <c r="Q1594" s="43" t="str">
        <f>VLOOKUP($D1594,Sheet1!$J$5:$L$192,2,TRUE)</f>
        <v>'/|)</v>
      </c>
      <c r="R1594" s="23">
        <f>FLOOR(VLOOKUP($D1594,Sheet1!$M$5:$O$192,3,TRUE),1)</f>
        <v>104</v>
      </c>
      <c r="S1594" s="42" t="str">
        <f>VLOOKUP($D1594,Sheet1!$M$5:$O$192,2,TRUE)</f>
        <v>'/|)</v>
      </c>
      <c r="T1594" s="117">
        <f>IF(ABS(D1594-VLOOKUP($D1594,Sheet1!$M$5:$T$192,8,TRUE))&lt;10^-10,"SoCA",D1594-VLOOKUP($D1594,Sheet1!$M$5:$T$192,8,TRUE))</f>
        <v>0.15297134711065752</v>
      </c>
      <c r="U1594" s="109" t="str">
        <f>IF(VLOOKUP($D1594,Sheet1!$M$5:$U$192,9,TRUE)=0,"",IF(ABS(D1594-VLOOKUP($D1594,Sheet1!$M$5:$U$192,9,TRUE))&lt;10^-10,"Alt.",D1594-VLOOKUP($D1594,Sheet1!$M$5:$U$192,9,TRUE)))</f>
        <v/>
      </c>
      <c r="V1594" s="132">
        <f>$D1594-Sheet1!$M$3*$R1594</f>
        <v>0.13355151468359594</v>
      </c>
      <c r="Z1594" s="6"/>
      <c r="AA1594" s="61"/>
    </row>
    <row r="1595" spans="1:27" ht="13.5">
      <c r="A1595" s="6" t="s">
        <v>1868</v>
      </c>
      <c r="B1595">
        <v>636417</v>
      </c>
      <c r="C1595">
        <v>655360</v>
      </c>
      <c r="D1595" s="13">
        <f t="shared" si="32"/>
        <v>50.778296317182395</v>
      </c>
      <c r="E1595" s="61" t="s">
        <v>1931</v>
      </c>
      <c r="F1595" s="65">
        <v>133.96648549098836</v>
      </c>
      <c r="G1595" s="59">
        <v>1704</v>
      </c>
      <c r="H1595" s="63">
        <v>1000073</v>
      </c>
      <c r="I1595" s="65">
        <v>-11.126604699654361</v>
      </c>
      <c r="J1595" s="6">
        <f>VLOOKUP($D1595,Sheet1!$A$5:$C$192,3,TRUE)</f>
        <v>9</v>
      </c>
      <c r="K1595" s="42" t="str">
        <f>VLOOKUP($D1595,Sheet1!$A$5:$C$192,2,TRUE)</f>
        <v>/|)</v>
      </c>
      <c r="L1595" s="6">
        <f>FLOOR(VLOOKUP($D1595,Sheet1!$D$5:$F$192,3,TRUE),1)</f>
        <v>21</v>
      </c>
      <c r="M1595" s="42" t="str">
        <f>VLOOKUP($D1595,Sheet1!$D$5:$F$192,2,TRUE)</f>
        <v>(|~</v>
      </c>
      <c r="N1595" s="23">
        <f>FLOOR(VLOOKUP($D1595,Sheet1!$G$5:$I$192,3,TRUE),1)</f>
        <v>26</v>
      </c>
      <c r="O1595" s="42" t="str">
        <f>VLOOKUP($D1595,Sheet1!$G$5:$I$192,2,TRUE)</f>
        <v>'/|)</v>
      </c>
      <c r="P1595" s="23">
        <v>1</v>
      </c>
      <c r="Q1595" s="43" t="str">
        <f>VLOOKUP($D1595,Sheet1!$J$5:$L$192,2,TRUE)</f>
        <v>'/|)</v>
      </c>
      <c r="R1595" s="23">
        <f>FLOOR(VLOOKUP($D1595,Sheet1!$M$5:$O$192,3,TRUE),1)</f>
        <v>104</v>
      </c>
      <c r="S1595" s="42" t="str">
        <f>VLOOKUP($D1595,Sheet1!$M$5:$O$192,2,TRUE)</f>
        <v>'/|)</v>
      </c>
      <c r="T1595" s="117">
        <f>IF(ABS(D1595-VLOOKUP($D1595,Sheet1!$M$5:$T$192,8,TRUE))&lt;10^-10,"SoCA",D1595-VLOOKUP($D1595,Sheet1!$M$5:$T$192,8,TRUE))</f>
        <v>5.4194132433316611E-2</v>
      </c>
      <c r="U1595" s="109" t="str">
        <f>IF(VLOOKUP($D1595,Sheet1!$M$5:$U$192,9,TRUE)=0,"",IF(ABS(D1595-VLOOKUP($D1595,Sheet1!$M$5:$U$192,9,TRUE))&lt;10^-10,"Alt.",D1595-VLOOKUP($D1595,Sheet1!$M$5:$U$192,9,TRUE)))</f>
        <v/>
      </c>
      <c r="V1595" s="132">
        <f>$D1595-Sheet1!$M$3*$R1595</f>
        <v>3.4774300006255032E-2</v>
      </c>
      <c r="Z1595" s="6"/>
      <c r="AA1595" s="61"/>
    </row>
    <row r="1596" spans="1:27" ht="13.5">
      <c r="A1596" t="s">
        <v>1693</v>
      </c>
      <c r="B1596">
        <v>533935546875</v>
      </c>
      <c r="C1596">
        <v>549755813888</v>
      </c>
      <c r="D1596" s="13">
        <f t="shared" si="32"/>
        <v>50.55042756427013</v>
      </c>
      <c r="E1596" s="61">
        <v>5</v>
      </c>
      <c r="F1596" s="65">
        <v>218.07981319048372</v>
      </c>
      <c r="G1596" s="6">
        <v>1470</v>
      </c>
      <c r="H1596" s="6">
        <v>1542</v>
      </c>
      <c r="I1596" s="65">
        <v>-10.112573990366489</v>
      </c>
      <c r="J1596" s="6">
        <f>VLOOKUP($D1596,Sheet1!$A$5:$C$192,3,TRUE)</f>
        <v>9</v>
      </c>
      <c r="K1596" s="42" t="str">
        <f>VLOOKUP($D1596,Sheet1!$A$5:$C$192,2,TRUE)</f>
        <v>/|)</v>
      </c>
      <c r="L1596" s="6">
        <f>FLOOR(VLOOKUP($D1596,Sheet1!$D$5:$F$192,3,TRUE),1)</f>
        <v>21</v>
      </c>
      <c r="M1596" s="42" t="str">
        <f>VLOOKUP($D1596,Sheet1!$D$5:$F$192,2,TRUE)</f>
        <v>(|~</v>
      </c>
      <c r="N1596" s="23">
        <f>FLOOR(VLOOKUP($D1596,Sheet1!$G$5:$I$192,3,TRUE),1)</f>
        <v>26</v>
      </c>
      <c r="O1596" s="42" t="str">
        <f>VLOOKUP($D1596,Sheet1!$G$5:$I$192,2,TRUE)</f>
        <v>'/|)</v>
      </c>
      <c r="P1596" s="23">
        <v>1</v>
      </c>
      <c r="Q1596" s="43" t="str">
        <f>VLOOKUP($D1596,Sheet1!$J$5:$L$192,2,TRUE)</f>
        <v>'/|)</v>
      </c>
      <c r="R1596" s="23">
        <f>FLOOR(VLOOKUP($D1596,Sheet1!$M$5:$O$192,3,TRUE),1)</f>
        <v>104</v>
      </c>
      <c r="S1596" s="42" t="str">
        <f>VLOOKUP($D1596,Sheet1!$M$5:$O$192,2,TRUE)</f>
        <v>'/|)</v>
      </c>
      <c r="T1596" s="117">
        <f>IF(ABS(D1596-VLOOKUP($D1596,Sheet1!$M$5:$T$192,8,TRUE))&lt;10^-10,"SoCA",D1596-VLOOKUP($D1596,Sheet1!$M$5:$T$192,8,TRUE))</f>
        <v>-0.17367462047894833</v>
      </c>
      <c r="U1596" s="109" t="str">
        <f>IF(VLOOKUP($D1596,Sheet1!$M$5:$U$192,9,TRUE)=0,"",IF(ABS(D1596-VLOOKUP($D1596,Sheet1!$M$5:$U$192,9,TRUE))&lt;10^-10,"Alt.",D1596-VLOOKUP($D1596,Sheet1!$M$5:$U$192,9,TRUE)))</f>
        <v/>
      </c>
      <c r="V1596" s="132">
        <f>$D1596-Sheet1!$M$3*$R1596</f>
        <v>-0.19309445290600991</v>
      </c>
      <c r="Z1596" s="6"/>
      <c r="AA1596" s="61"/>
    </row>
    <row r="1597" spans="1:27" ht="13.5">
      <c r="A1597" s="6" t="s">
        <v>1869</v>
      </c>
      <c r="B1597">
        <v>898857</v>
      </c>
      <c r="C1597">
        <v>925696</v>
      </c>
      <c r="D1597" s="13">
        <f t="shared" si="32"/>
        <v>50.936248422493797</v>
      </c>
      <c r="E1597" s="61" t="s">
        <v>1931</v>
      </c>
      <c r="F1597" s="65">
        <v>288.2890216838411</v>
      </c>
      <c r="G1597" s="59">
        <v>1705</v>
      </c>
      <c r="H1597" s="63">
        <v>1000074</v>
      </c>
      <c r="I1597" s="65">
        <v>-11.136330386229234</v>
      </c>
      <c r="J1597" s="6">
        <f>VLOOKUP($D1597,Sheet1!$A$5:$C$192,3,TRUE)</f>
        <v>9</v>
      </c>
      <c r="K1597" s="42" t="str">
        <f>VLOOKUP($D1597,Sheet1!$A$5:$C$192,2,TRUE)</f>
        <v>/|)</v>
      </c>
      <c r="L1597" s="6">
        <f>FLOOR(VLOOKUP($D1597,Sheet1!$D$5:$F$192,3,TRUE),1)</f>
        <v>21</v>
      </c>
      <c r="M1597" s="42" t="str">
        <f>VLOOKUP($D1597,Sheet1!$D$5:$F$192,2,TRUE)</f>
        <v>(|~</v>
      </c>
      <c r="N1597" s="23">
        <f>FLOOR(VLOOKUP($D1597,Sheet1!$G$5:$I$192,3,TRUE),1)</f>
        <v>26</v>
      </c>
      <c r="O1597" s="42" t="str">
        <f>VLOOKUP($D1597,Sheet1!$G$5:$I$192,2,TRUE)</f>
        <v>'/|)</v>
      </c>
      <c r="P1597" s="23">
        <v>1</v>
      </c>
      <c r="Q1597" s="43" t="str">
        <f>VLOOKUP($D1597,Sheet1!$J$5:$L$192,2,TRUE)</f>
        <v>'/|)</v>
      </c>
      <c r="R1597" s="23">
        <f>FLOOR(VLOOKUP($D1597,Sheet1!$M$5:$O$192,3,TRUE),1)</f>
        <v>104</v>
      </c>
      <c r="S1597" s="42" t="str">
        <f>VLOOKUP($D1597,Sheet1!$M$5:$O$192,2,TRUE)</f>
        <v>'/|)</v>
      </c>
      <c r="T1597" s="117">
        <f>IF(ABS(D1597-VLOOKUP($D1597,Sheet1!$M$5:$T$192,8,TRUE))&lt;10^-10,"SoCA",D1597-VLOOKUP($D1597,Sheet1!$M$5:$T$192,8,TRUE))</f>
        <v>0.21214623774471875</v>
      </c>
      <c r="U1597" s="109" t="str">
        <f>IF(VLOOKUP($D1597,Sheet1!$M$5:$U$192,9,TRUE)=0,"",IF(ABS(D1597-VLOOKUP($D1597,Sheet1!$M$5:$U$192,9,TRUE))&lt;10^-10,"Alt.",D1597-VLOOKUP($D1597,Sheet1!$M$5:$U$192,9,TRUE)))</f>
        <v/>
      </c>
      <c r="V1597" s="132">
        <f>$D1597-Sheet1!$M$3*$R1597</f>
        <v>0.19272640531765717</v>
      </c>
      <c r="Z1597" s="6"/>
      <c r="AA1597" s="61"/>
    </row>
    <row r="1598" spans="1:27" ht="13.5">
      <c r="A1598" t="s">
        <v>750</v>
      </c>
      <c r="B1598">
        <v>160000</v>
      </c>
      <c r="C1598">
        <v>164781</v>
      </c>
      <c r="D1598" s="13">
        <f t="shared" si="32"/>
        <v>50.973597224892025</v>
      </c>
      <c r="E1598" s="61" t="s">
        <v>1931</v>
      </c>
      <c r="F1598" s="65">
        <v>554.5504862922437</v>
      </c>
      <c r="G1598" s="6">
        <v>709</v>
      </c>
      <c r="H1598" s="6">
        <v>595</v>
      </c>
      <c r="I1598" s="65">
        <v>-0.13863008806198884</v>
      </c>
      <c r="J1598" s="6">
        <f>VLOOKUP($D1598,Sheet1!$A$5:$C$192,3,TRUE)</f>
        <v>9</v>
      </c>
      <c r="K1598" s="42" t="str">
        <f>VLOOKUP($D1598,Sheet1!$A$5:$C$192,2,TRUE)</f>
        <v>/|)</v>
      </c>
      <c r="L1598" s="6">
        <f>FLOOR(VLOOKUP($D1598,Sheet1!$D$5:$F$192,3,TRUE),1)</f>
        <v>21</v>
      </c>
      <c r="M1598" s="42" t="str">
        <f>VLOOKUP($D1598,Sheet1!$D$5:$F$192,2,TRUE)</f>
        <v>(|~</v>
      </c>
      <c r="N1598" s="23">
        <f>FLOOR(VLOOKUP($D1598,Sheet1!$G$5:$I$192,3,TRUE),1)</f>
        <v>26</v>
      </c>
      <c r="O1598" s="42" t="str">
        <f>VLOOKUP($D1598,Sheet1!$G$5:$I$192,2,TRUE)</f>
        <v>'/|)</v>
      </c>
      <c r="P1598" s="23">
        <v>1</v>
      </c>
      <c r="Q1598" s="43" t="str">
        <f>VLOOKUP($D1598,Sheet1!$J$5:$L$192,2,TRUE)</f>
        <v>'/|)</v>
      </c>
      <c r="R1598" s="23">
        <f>FLOOR(VLOOKUP($D1598,Sheet1!$M$5:$O$192,3,TRUE),1)</f>
        <v>104</v>
      </c>
      <c r="S1598" s="42" t="str">
        <f>VLOOKUP($D1598,Sheet1!$M$5:$O$192,2,TRUE)</f>
        <v>'/|)</v>
      </c>
      <c r="T1598" s="117">
        <f>IF(ABS(D1598-VLOOKUP($D1598,Sheet1!$M$5:$T$192,8,TRUE))&lt;10^-10,"SoCA",D1598-VLOOKUP($D1598,Sheet1!$M$5:$T$192,8,TRUE))</f>
        <v>0.24949504014294632</v>
      </c>
      <c r="U1598" s="109" t="str">
        <f>IF(VLOOKUP($D1598,Sheet1!$M$5:$U$192,9,TRUE)=0,"",IF(ABS(D1598-VLOOKUP($D1598,Sheet1!$M$5:$U$192,9,TRUE))&lt;10^-10,"Alt.",D1598-VLOOKUP($D1598,Sheet1!$M$5:$U$192,9,TRUE)))</f>
        <v/>
      </c>
      <c r="V1598" s="132">
        <f>$D1598-Sheet1!$M$3*$R1598</f>
        <v>0.23007520771588474</v>
      </c>
      <c r="Z1598" s="6"/>
      <c r="AA1598" s="61"/>
    </row>
    <row r="1599" spans="1:27" ht="13.5">
      <c r="A1599" t="s">
        <v>1032</v>
      </c>
      <c r="B1599">
        <v>607</v>
      </c>
      <c r="C1599">
        <v>625</v>
      </c>
      <c r="D1599" s="13">
        <f t="shared" si="32"/>
        <v>50.591607952520675</v>
      </c>
      <c r="E1599" s="61" t="s">
        <v>1931</v>
      </c>
      <c r="F1599" s="65">
        <v>1003.3720231705036</v>
      </c>
      <c r="G1599" s="6">
        <v>951</v>
      </c>
      <c r="H1599" s="6">
        <v>880</v>
      </c>
      <c r="I1599" s="65">
        <v>-3.1151096168993977</v>
      </c>
      <c r="J1599" s="6">
        <f>VLOOKUP($D1599,Sheet1!$A$5:$C$192,3,TRUE)</f>
        <v>9</v>
      </c>
      <c r="K1599" s="42" t="str">
        <f>VLOOKUP($D1599,Sheet1!$A$5:$C$192,2,TRUE)</f>
        <v>/|)</v>
      </c>
      <c r="L1599" s="6">
        <f>FLOOR(VLOOKUP($D1599,Sheet1!$D$5:$F$192,3,TRUE),1)</f>
        <v>21</v>
      </c>
      <c r="M1599" s="42" t="str">
        <f>VLOOKUP($D1599,Sheet1!$D$5:$F$192,2,TRUE)</f>
        <v>(|~</v>
      </c>
      <c r="N1599" s="23">
        <f>FLOOR(VLOOKUP($D1599,Sheet1!$G$5:$I$192,3,TRUE),1)</f>
        <v>26</v>
      </c>
      <c r="O1599" s="42" t="str">
        <f>VLOOKUP($D1599,Sheet1!$G$5:$I$192,2,TRUE)</f>
        <v>'/|)</v>
      </c>
      <c r="P1599" s="23">
        <v>1</v>
      </c>
      <c r="Q1599" s="43" t="str">
        <f>VLOOKUP($D1599,Sheet1!$J$5:$L$192,2,TRUE)</f>
        <v>'/|)</v>
      </c>
      <c r="R1599" s="23">
        <f>FLOOR(VLOOKUP($D1599,Sheet1!$M$5:$O$192,3,TRUE),1)</f>
        <v>104</v>
      </c>
      <c r="S1599" s="42" t="str">
        <f>VLOOKUP($D1599,Sheet1!$M$5:$O$192,2,TRUE)</f>
        <v>'/|)</v>
      </c>
      <c r="T1599" s="117">
        <f>IF(ABS(D1599-VLOOKUP($D1599,Sheet1!$M$5:$T$192,8,TRUE))&lt;10^-10,"SoCA",D1599-VLOOKUP($D1599,Sheet1!$M$5:$T$192,8,TRUE))</f>
        <v>-0.13249423222840306</v>
      </c>
      <c r="U1599" s="109" t="str">
        <f>IF(VLOOKUP($D1599,Sheet1!$M$5:$U$192,9,TRUE)=0,"",IF(ABS(D1599-VLOOKUP($D1599,Sheet1!$M$5:$U$192,9,TRUE))&lt;10^-10,"Alt.",D1599-VLOOKUP($D1599,Sheet1!$M$5:$U$192,9,TRUE)))</f>
        <v/>
      </c>
      <c r="V1599" s="132">
        <f>$D1599-Sheet1!$M$3*$R1599</f>
        <v>-0.15191406465546464</v>
      </c>
      <c r="Z1599" s="6"/>
      <c r="AA1599" s="61"/>
    </row>
    <row r="1600" spans="1:27" ht="13.5">
      <c r="A1600" t="s">
        <v>1039</v>
      </c>
      <c r="B1600">
        <v>971</v>
      </c>
      <c r="C1600">
        <v>1000</v>
      </c>
      <c r="D1600" s="13">
        <f t="shared" si="32"/>
        <v>50.948159091473833</v>
      </c>
      <c r="E1600" s="61" t="s">
        <v>1931</v>
      </c>
      <c r="F1600" s="65">
        <v>1380.5866076796137</v>
      </c>
      <c r="G1600" s="6">
        <v>958</v>
      </c>
      <c r="H1600" s="6">
        <v>887</v>
      </c>
      <c r="I1600" s="65">
        <v>-3.1370637695112653</v>
      </c>
      <c r="J1600" s="6">
        <f>VLOOKUP($D1600,Sheet1!$A$5:$C$192,3,TRUE)</f>
        <v>9</v>
      </c>
      <c r="K1600" s="42" t="str">
        <f>VLOOKUP($D1600,Sheet1!$A$5:$C$192,2,TRUE)</f>
        <v>/|)</v>
      </c>
      <c r="L1600" s="6">
        <f>FLOOR(VLOOKUP($D1600,Sheet1!$D$5:$F$192,3,TRUE),1)</f>
        <v>21</v>
      </c>
      <c r="M1600" s="42" t="str">
        <f>VLOOKUP($D1600,Sheet1!$D$5:$F$192,2,TRUE)</f>
        <v>(|~</v>
      </c>
      <c r="N1600" s="23">
        <f>FLOOR(VLOOKUP($D1600,Sheet1!$G$5:$I$192,3,TRUE),1)</f>
        <v>26</v>
      </c>
      <c r="O1600" s="42" t="str">
        <f>VLOOKUP($D1600,Sheet1!$G$5:$I$192,2,TRUE)</f>
        <v>'/|)</v>
      </c>
      <c r="P1600" s="23">
        <v>1</v>
      </c>
      <c r="Q1600" s="43" t="str">
        <f>VLOOKUP($D1600,Sheet1!$J$5:$L$192,2,TRUE)</f>
        <v>'/|)</v>
      </c>
      <c r="R1600" s="23">
        <f>FLOOR(VLOOKUP($D1600,Sheet1!$M$5:$O$192,3,TRUE),1)</f>
        <v>104</v>
      </c>
      <c r="S1600" s="42" t="str">
        <f>VLOOKUP($D1600,Sheet1!$M$5:$O$192,2,TRUE)</f>
        <v>'/|)</v>
      </c>
      <c r="T1600" s="117">
        <f>IF(ABS(D1600-VLOOKUP($D1600,Sheet1!$M$5:$T$192,8,TRUE))&lt;10^-10,"SoCA",D1600-VLOOKUP($D1600,Sheet1!$M$5:$T$192,8,TRUE))</f>
        <v>0.22405690672475487</v>
      </c>
      <c r="U1600" s="109" t="str">
        <f>IF(VLOOKUP($D1600,Sheet1!$M$5:$U$192,9,TRUE)=0,"",IF(ABS(D1600-VLOOKUP($D1600,Sheet1!$M$5:$U$192,9,TRUE))&lt;10^-10,"Alt.",D1600-VLOOKUP($D1600,Sheet1!$M$5:$U$192,9,TRUE)))</f>
        <v/>
      </c>
      <c r="V1600" s="132">
        <f>$D1600-Sheet1!$M$3*$R1600</f>
        <v>0.20463707429769329</v>
      </c>
      <c r="Z1600" s="6"/>
      <c r="AA1600" s="61"/>
    </row>
    <row r="1601" spans="1:27" ht="13.5">
      <c r="A1601" s="48" t="s">
        <v>203</v>
      </c>
      <c r="B1601" s="48">
        <f>3^7*5</f>
        <v>10935</v>
      </c>
      <c r="C1601" s="48">
        <f>2^10*11</f>
        <v>11264</v>
      </c>
      <c r="D1601" s="13">
        <f t="shared" si="32"/>
        <v>51.319222442209885</v>
      </c>
      <c r="E1601" s="61">
        <v>11</v>
      </c>
      <c r="F1601" s="65">
        <v>26.155392767366433</v>
      </c>
      <c r="G1601" s="59">
        <v>56</v>
      </c>
      <c r="H1601" s="59">
        <v>117</v>
      </c>
      <c r="I1601" s="65">
        <v>-10.159911491873473</v>
      </c>
      <c r="J1601" s="6">
        <f>VLOOKUP($D1601,Sheet1!$A$5:$C$192,3,TRUE)</f>
        <v>10</v>
      </c>
      <c r="K1601" s="42" t="str">
        <f>VLOOKUP($D1601,Sheet1!$A$5:$C$192,2,TRUE)</f>
        <v>/|\</v>
      </c>
      <c r="L1601" s="6">
        <f>FLOOR(VLOOKUP($D1601,Sheet1!$D$5:$F$192,3,TRUE),1)</f>
        <v>21</v>
      </c>
      <c r="M1601" s="42" t="str">
        <f>VLOOKUP($D1601,Sheet1!$D$5:$F$192,2,TRUE)</f>
        <v>(|~</v>
      </c>
      <c r="N1601" s="39">
        <f>FLOOR(VLOOKUP($D1601,Sheet1!$G$5:$I$192,3,TRUE),1)</f>
        <v>26</v>
      </c>
      <c r="O1601" s="44" t="str">
        <f>VLOOKUP($D1601,Sheet1!$G$5:$I$192,2,TRUE)</f>
        <v>./|\</v>
      </c>
      <c r="P1601" s="39">
        <v>1</v>
      </c>
      <c r="Q1601" s="44" t="str">
        <f>VLOOKUP($D1601,Sheet1!$J$5:$L$192,2,TRUE)</f>
        <v>./|\</v>
      </c>
      <c r="R1601" s="39">
        <f>FLOOR(VLOOKUP($D1601,Sheet1!$M$5:$O$192,3,TRUE),1)</f>
        <v>105</v>
      </c>
      <c r="S1601" s="44" t="str">
        <f>VLOOKUP($D1601,Sheet1!$M$5:$O$192,2,TRUE)</f>
        <v>./|\</v>
      </c>
      <c r="T1601" s="113" t="str">
        <f>IF(ABS(D1601-VLOOKUP($D1601,Sheet1!$M$5:$T$192,8,TRUE))&lt;10^-10,"SoCA",D1601-VLOOKUP($D1601,Sheet1!$M$5:$T$192,8,TRUE))</f>
        <v>SoCA</v>
      </c>
      <c r="U1601" s="118" t="str">
        <f>IF(VLOOKUP($D1601,Sheet1!$M$5:$U$192,9,TRUE)=0,"",IF(ABS(D1601-VLOOKUP($D1601,Sheet1!$M$5:$U$192,9,TRUE))&lt;10^-10,"Alt.",D1601-VLOOKUP($D1601,Sheet1!$M$5:$U$192,9,TRUE)))</f>
        <v/>
      </c>
      <c r="V1601" s="136">
        <f>$D1601-Sheet1!$M$3*$R1601</f>
        <v>8.7781944099361908E-2</v>
      </c>
      <c r="Z1601" s="6"/>
      <c r="AA1601" s="61"/>
    </row>
    <row r="1602" spans="1:27" ht="13.5">
      <c r="A1602" s="36" t="s">
        <v>201</v>
      </c>
      <c r="B1602" s="36">
        <f>2^14</f>
        <v>16384</v>
      </c>
      <c r="C1602" s="36">
        <f>3^3*5^4</f>
        <v>16875</v>
      </c>
      <c r="D1602" s="51">
        <f t="shared" si="32"/>
        <v>51.119858055501524</v>
      </c>
      <c r="E1602" s="61">
        <v>5</v>
      </c>
      <c r="F1602" s="65">
        <v>36.077760892870387</v>
      </c>
      <c r="G1602" s="6">
        <v>29</v>
      </c>
      <c r="H1602" s="6">
        <v>24</v>
      </c>
      <c r="I1602" s="65">
        <v>-0.14763590025983309</v>
      </c>
      <c r="J1602" s="6">
        <f>VLOOKUP($D1602,Sheet1!$A$5:$C$192,3,TRUE)</f>
        <v>9</v>
      </c>
      <c r="K1602" s="42" t="str">
        <f>VLOOKUP($D1602,Sheet1!$A$5:$C$192,2,TRUE)</f>
        <v>/|)</v>
      </c>
      <c r="L1602" s="6">
        <f>FLOOR(VLOOKUP($D1602,Sheet1!$D$5:$F$192,3,TRUE),1)</f>
        <v>21</v>
      </c>
      <c r="M1602" s="42" t="str">
        <f>VLOOKUP($D1602,Sheet1!$D$5:$F$192,2,TRUE)</f>
        <v>(|~</v>
      </c>
      <c r="N1602" s="23">
        <f>FLOOR(VLOOKUP($D1602,Sheet1!$G$5:$I$192,3,TRUE),1)</f>
        <v>26</v>
      </c>
      <c r="O1602" s="42" t="str">
        <f>VLOOKUP($D1602,Sheet1!$G$5:$I$192,2,TRUE)</f>
        <v>'/|)</v>
      </c>
      <c r="P1602" s="23">
        <v>1</v>
      </c>
      <c r="Q1602" s="45" t="str">
        <f>VLOOKUP($D1602,Sheet1!$J$5:$L$192,2,TRUE)</f>
        <v>'/|)'</v>
      </c>
      <c r="R1602" s="38">
        <f>FLOOR(VLOOKUP($D1602,Sheet1!$M$5:$O$192,3,TRUE),1)</f>
        <v>105</v>
      </c>
      <c r="S1602" s="45" t="str">
        <f>VLOOKUP($D1602,Sheet1!$M$5:$O$192,2,TRUE)</f>
        <v>'/|)'</v>
      </c>
      <c r="T1602" s="108">
        <f>IF(ABS(D1602-VLOOKUP($D1602,Sheet1!$M$5:$T$192,8,TRUE))&lt;10^-10,"SoCA",D1602-VLOOKUP($D1602,Sheet1!$M$5:$T$192,8,TRUE))</f>
        <v>-2.6960295202378859E-2</v>
      </c>
      <c r="U1602" s="112" t="str">
        <f>IF(VLOOKUP($D1602,Sheet1!$M$5:$U$192,9,TRUE)=0,"",IF(ABS(D1602-VLOOKUP($D1602,Sheet1!$M$5:$U$192,9,TRUE))&lt;10^-10,"Alt.",D1602-VLOOKUP($D1602,Sheet1!$M$5:$U$192,9,TRUE)))</f>
        <v>Alt.</v>
      </c>
      <c r="V1602" s="132">
        <f>$D1602-Sheet1!$M$3*$R1602</f>
        <v>-0.11158244260899863</v>
      </c>
      <c r="Z1602" s="6"/>
      <c r="AA1602" s="61"/>
    </row>
    <row r="1603" spans="1:27" ht="13.5">
      <c r="A1603" s="6" t="s">
        <v>302</v>
      </c>
      <c r="B1603" s="6">
        <f>2^18*5^2</f>
        <v>6553600</v>
      </c>
      <c r="C1603" s="6">
        <f>3^9*7^3</f>
        <v>6751269</v>
      </c>
      <c r="D1603" s="13">
        <f t="shared" ref="D1603:D1666" si="33">1200*LN($C1603/$B1603)/LN(2)</f>
        <v>51.445299466191976</v>
      </c>
      <c r="E1603" s="61">
        <v>7</v>
      </c>
      <c r="F1603" s="65">
        <v>42.695089296136508</v>
      </c>
      <c r="G1603" s="6">
        <v>135.1</v>
      </c>
      <c r="H1603" s="6">
        <v>131.1</v>
      </c>
      <c r="I1603" s="65">
        <v>5.8323254864363445</v>
      </c>
      <c r="J1603" s="6">
        <f>VLOOKUP($D1603,Sheet1!$A$5:$C$192,3,TRUE)</f>
        <v>10</v>
      </c>
      <c r="K1603" s="42" t="str">
        <f>VLOOKUP($D1603,Sheet1!$A$5:$C$192,2,TRUE)</f>
        <v>/|\</v>
      </c>
      <c r="L1603" s="6">
        <f>FLOOR(VLOOKUP($D1603,Sheet1!$D$5:$F$192,3,TRUE),1)</f>
        <v>21</v>
      </c>
      <c r="M1603" s="42" t="str">
        <f>VLOOKUP($D1603,Sheet1!$D$5:$F$192,2,TRUE)</f>
        <v>(|~</v>
      </c>
      <c r="N1603" s="23">
        <f>FLOOR(VLOOKUP($D1603,Sheet1!$G$5:$I$192,3,TRUE),1)</f>
        <v>26</v>
      </c>
      <c r="O1603" s="42" t="str">
        <f>VLOOKUP($D1603,Sheet1!$G$5:$I$192,2,TRUE)</f>
        <v>./|\</v>
      </c>
      <c r="P1603" s="23">
        <v>1</v>
      </c>
      <c r="Q1603" s="43" t="str">
        <f>VLOOKUP($D1603,Sheet1!$J$5:$L$192,2,TRUE)</f>
        <v>./|\</v>
      </c>
      <c r="R1603" s="23">
        <f>FLOOR(VLOOKUP($D1603,Sheet1!$M$5:$O$192,3,TRUE),1)</f>
        <v>105</v>
      </c>
      <c r="S1603" s="42" t="str">
        <f>VLOOKUP($D1603,Sheet1!$M$5:$O$192,2,TRUE)</f>
        <v>./|\</v>
      </c>
      <c r="T1603" s="117">
        <f>IF(ABS(D1603-VLOOKUP($D1603,Sheet1!$M$5:$T$192,8,TRUE))&lt;10^-10,"SoCA",D1603-VLOOKUP($D1603,Sheet1!$M$5:$T$192,8,TRUE))</f>
        <v>0.12607702398201326</v>
      </c>
      <c r="U1603" s="109" t="str">
        <f>IF(VLOOKUP($D1603,Sheet1!$M$5:$U$192,9,TRUE)=0,"",IF(ABS(D1603-VLOOKUP($D1603,Sheet1!$M$5:$U$192,9,TRUE))&lt;10^-10,"Alt.",D1603-VLOOKUP($D1603,Sheet1!$M$5:$U$192,9,TRUE)))</f>
        <v/>
      </c>
      <c r="V1603" s="132">
        <f>$D1603-Sheet1!$M$3*$R1603</f>
        <v>0.21385896808145333</v>
      </c>
      <c r="Z1603" s="6"/>
      <c r="AA1603" s="61"/>
    </row>
    <row r="1604" spans="1:27" ht="13.5">
      <c r="A1604" s="6" t="s">
        <v>617</v>
      </c>
      <c r="B1604" s="6">
        <f>2^14*5*7</f>
        <v>573440</v>
      </c>
      <c r="C1604" s="6">
        <f>3^5*11*13*17</f>
        <v>590733</v>
      </c>
      <c r="D1604" s="13">
        <f t="shared" si="33"/>
        <v>51.436397627451804</v>
      </c>
      <c r="E1604" s="61">
        <v>17</v>
      </c>
      <c r="F1604" s="65">
        <v>63.993633705622926</v>
      </c>
      <c r="G1604" s="6">
        <v>511.1</v>
      </c>
      <c r="H1604" s="6">
        <v>462.1</v>
      </c>
      <c r="I1604" s="65">
        <v>1.8328736050787415</v>
      </c>
      <c r="J1604" s="6">
        <f>VLOOKUP($D1604,Sheet1!$A$5:$C$192,3,TRUE)</f>
        <v>10</v>
      </c>
      <c r="K1604" s="42" t="str">
        <f>VLOOKUP($D1604,Sheet1!$A$5:$C$192,2,TRUE)</f>
        <v>/|\</v>
      </c>
      <c r="L1604" s="6">
        <f>FLOOR(VLOOKUP($D1604,Sheet1!$D$5:$F$192,3,TRUE),1)</f>
        <v>21</v>
      </c>
      <c r="M1604" s="42" t="str">
        <f>VLOOKUP($D1604,Sheet1!$D$5:$F$192,2,TRUE)</f>
        <v>(|~</v>
      </c>
      <c r="N1604" s="23">
        <f>FLOOR(VLOOKUP($D1604,Sheet1!$G$5:$I$192,3,TRUE),1)</f>
        <v>26</v>
      </c>
      <c r="O1604" s="42" t="str">
        <f>VLOOKUP($D1604,Sheet1!$G$5:$I$192,2,TRUE)</f>
        <v>./|\</v>
      </c>
      <c r="P1604" s="23">
        <v>1</v>
      </c>
      <c r="Q1604" s="43" t="str">
        <f>VLOOKUP($D1604,Sheet1!$J$5:$L$192,2,TRUE)</f>
        <v>./|\</v>
      </c>
      <c r="R1604" s="23">
        <f>FLOOR(VLOOKUP($D1604,Sheet1!$M$5:$O$192,3,TRUE),1)</f>
        <v>105</v>
      </c>
      <c r="S1604" s="42" t="str">
        <f>VLOOKUP($D1604,Sheet1!$M$5:$O$192,2,TRUE)</f>
        <v>./|\</v>
      </c>
      <c r="T1604" s="117">
        <f>IF(ABS(D1604-VLOOKUP($D1604,Sheet1!$M$5:$T$192,8,TRUE))&lt;10^-10,"SoCA",D1604-VLOOKUP($D1604,Sheet1!$M$5:$T$192,8,TRUE))</f>
        <v>0.11717518524184101</v>
      </c>
      <c r="U1604" s="109" t="str">
        <f>IF(VLOOKUP($D1604,Sheet1!$M$5:$U$192,9,TRUE)=0,"",IF(ABS(D1604-VLOOKUP($D1604,Sheet1!$M$5:$U$192,9,TRUE))&lt;10^-10,"Alt.",D1604-VLOOKUP($D1604,Sheet1!$M$5:$U$192,9,TRUE)))</f>
        <v/>
      </c>
      <c r="V1604" s="132">
        <f>$D1604-Sheet1!$M$3*$R1604</f>
        <v>0.20495712934128107</v>
      </c>
      <c r="Z1604" s="6"/>
      <c r="AA1604" s="61"/>
    </row>
    <row r="1605" spans="1:27" ht="13.5">
      <c r="A1605" t="s">
        <v>432</v>
      </c>
      <c r="B1605">
        <v>12032</v>
      </c>
      <c r="C1605">
        <v>12393</v>
      </c>
      <c r="D1605" s="13">
        <f t="shared" si="33"/>
        <v>51.178792679566889</v>
      </c>
      <c r="E1605" s="61">
        <v>47</v>
      </c>
      <c r="F1605" s="65">
        <v>64.823997223063984</v>
      </c>
      <c r="G1605" s="6">
        <v>296</v>
      </c>
      <c r="H1605" s="6">
        <v>270</v>
      </c>
      <c r="I1605" s="65">
        <v>2.8487352802259371</v>
      </c>
      <c r="J1605" s="6">
        <f>VLOOKUP($D1605,Sheet1!$A$5:$C$192,3,TRUE)</f>
        <v>9</v>
      </c>
      <c r="K1605" s="42" t="str">
        <f>VLOOKUP($D1605,Sheet1!$A$5:$C$192,2,TRUE)</f>
        <v>/|)</v>
      </c>
      <c r="L1605" s="6">
        <f>FLOOR(VLOOKUP($D1605,Sheet1!$D$5:$F$192,3,TRUE),1)</f>
        <v>21</v>
      </c>
      <c r="M1605" s="42" t="str">
        <f>VLOOKUP($D1605,Sheet1!$D$5:$F$192,2,TRUE)</f>
        <v>(|~</v>
      </c>
      <c r="N1605" s="23">
        <f>FLOOR(VLOOKUP($D1605,Sheet1!$G$5:$I$192,3,TRUE),1)</f>
        <v>26</v>
      </c>
      <c r="O1605" s="42" t="str">
        <f>VLOOKUP($D1605,Sheet1!$G$5:$I$192,2,TRUE)</f>
        <v>'/|)</v>
      </c>
      <c r="P1605" s="23">
        <v>1</v>
      </c>
      <c r="Q1605" s="43" t="str">
        <f>VLOOKUP($D1605,Sheet1!$J$5:$L$192,2,TRUE)</f>
        <v>'/|)'</v>
      </c>
      <c r="R1605" s="23">
        <f>FLOOR(VLOOKUP($D1605,Sheet1!$M$5:$O$192,3,TRUE),1)</f>
        <v>105</v>
      </c>
      <c r="S1605" s="42" t="str">
        <f>VLOOKUP($D1605,Sheet1!$M$5:$O$192,2,TRUE)</f>
        <v>'/|)'</v>
      </c>
      <c r="T1605" s="117">
        <f>IF(ABS(D1605-VLOOKUP($D1605,Sheet1!$M$5:$T$192,8,TRUE))&lt;10^-10,"SoCA",D1605-VLOOKUP($D1605,Sheet1!$M$5:$T$192,8,TRUE))</f>
        <v>3.1974328862986567E-2</v>
      </c>
      <c r="U1605" s="109">
        <f>IF(VLOOKUP($D1605,Sheet1!$M$5:$U$192,9,TRUE)=0,"",IF(ABS(D1605-VLOOKUP($D1605,Sheet1!$M$5:$U$192,9,TRUE))&lt;10^-10,"Alt.",D1605-VLOOKUP($D1605,Sheet1!$M$5:$U$192,9,TRUE)))</f>
        <v>5.893462406542227E-2</v>
      </c>
      <c r="V1605" s="132">
        <f>$D1605-Sheet1!$M$3*$R1605</f>
        <v>-5.2647818543633207E-2</v>
      </c>
      <c r="Z1605" s="6"/>
      <c r="AA1605" s="61"/>
    </row>
    <row r="1606" spans="1:27" ht="13.5">
      <c r="A1606" t="s">
        <v>544</v>
      </c>
      <c r="B1606">
        <v>1232</v>
      </c>
      <c r="C1606">
        <v>1269</v>
      </c>
      <c r="D1606" s="13">
        <f t="shared" si="33"/>
        <v>51.227775775445345</v>
      </c>
      <c r="E1606" s="61">
        <v>47</v>
      </c>
      <c r="F1606" s="65">
        <v>78.105836216664841</v>
      </c>
      <c r="G1606" s="6">
        <v>463</v>
      </c>
      <c r="H1606" s="6">
        <v>387</v>
      </c>
      <c r="I1606" s="65">
        <v>-0.15428078744243345</v>
      </c>
      <c r="J1606" s="6">
        <f>VLOOKUP($D1606,Sheet1!$A$5:$C$192,3,TRUE)</f>
        <v>10</v>
      </c>
      <c r="K1606" s="42" t="str">
        <f>VLOOKUP($D1606,Sheet1!$A$5:$C$192,2,TRUE)</f>
        <v>/|\</v>
      </c>
      <c r="L1606" s="6">
        <f>FLOOR(VLOOKUP($D1606,Sheet1!$D$5:$F$192,3,TRUE),1)</f>
        <v>21</v>
      </c>
      <c r="M1606" s="42" t="str">
        <f>VLOOKUP($D1606,Sheet1!$D$5:$F$192,2,TRUE)</f>
        <v>(|~</v>
      </c>
      <c r="N1606" s="23">
        <f>FLOOR(VLOOKUP($D1606,Sheet1!$G$5:$I$192,3,TRUE),1)</f>
        <v>26</v>
      </c>
      <c r="O1606" s="42" t="str">
        <f>VLOOKUP($D1606,Sheet1!$G$5:$I$192,2,TRUE)</f>
        <v>./|\</v>
      </c>
      <c r="P1606" s="23">
        <v>1</v>
      </c>
      <c r="Q1606" s="43" t="str">
        <f>VLOOKUP($D1606,Sheet1!$J$5:$L$192,2,TRUE)</f>
        <v>./|\</v>
      </c>
      <c r="R1606" s="23">
        <f>FLOOR(VLOOKUP($D1606,Sheet1!$M$5:$O$192,3,TRUE),1)</f>
        <v>105</v>
      </c>
      <c r="S1606" s="42" t="str">
        <f>VLOOKUP($D1606,Sheet1!$M$5:$O$192,2,TRUE)</f>
        <v>./|\</v>
      </c>
      <c r="T1606" s="117">
        <f>IF(ABS(D1606-VLOOKUP($D1606,Sheet1!$M$5:$T$192,8,TRUE))&lt;10^-10,"SoCA",D1606-VLOOKUP($D1606,Sheet1!$M$5:$T$192,8,TRUE))</f>
        <v>-9.1446666764618101E-2</v>
      </c>
      <c r="U1606" s="109" t="str">
        <f>IF(VLOOKUP($D1606,Sheet1!$M$5:$U$192,9,TRUE)=0,"",IF(ABS(D1606-VLOOKUP($D1606,Sheet1!$M$5:$U$192,9,TRUE))&lt;10^-10,"Alt.",D1606-VLOOKUP($D1606,Sheet1!$M$5:$U$192,9,TRUE)))</f>
        <v/>
      </c>
      <c r="V1606" s="132">
        <f>$D1606-Sheet1!$M$3*$R1606</f>
        <v>-3.6647226651780329E-3</v>
      </c>
      <c r="Z1606" s="6"/>
      <c r="AA1606" s="61"/>
    </row>
    <row r="1607" spans="1:27" ht="13.5">
      <c r="A1607" t="s">
        <v>1106</v>
      </c>
      <c r="B1607">
        <v>567</v>
      </c>
      <c r="C1607">
        <v>584</v>
      </c>
      <c r="D1607" s="13">
        <f t="shared" si="33"/>
        <v>51.143560725345985</v>
      </c>
      <c r="E1607" s="61" t="s">
        <v>1931</v>
      </c>
      <c r="F1607" s="65">
        <v>81.922388586691682</v>
      </c>
      <c r="G1607" s="6">
        <v>870</v>
      </c>
      <c r="H1607" s="6">
        <v>955</v>
      </c>
      <c r="I1607" s="65">
        <v>-7.1490953599956839</v>
      </c>
      <c r="J1607" s="6">
        <f>VLOOKUP($D1607,Sheet1!$A$5:$C$192,3,TRUE)</f>
        <v>9</v>
      </c>
      <c r="K1607" s="42" t="str">
        <f>VLOOKUP($D1607,Sheet1!$A$5:$C$192,2,TRUE)</f>
        <v>/|)</v>
      </c>
      <c r="L1607" s="6">
        <f>FLOOR(VLOOKUP($D1607,Sheet1!$D$5:$F$192,3,TRUE),1)</f>
        <v>21</v>
      </c>
      <c r="M1607" s="42" t="str">
        <f>VLOOKUP($D1607,Sheet1!$D$5:$F$192,2,TRUE)</f>
        <v>(|~</v>
      </c>
      <c r="N1607" s="23">
        <f>FLOOR(VLOOKUP($D1607,Sheet1!$G$5:$I$192,3,TRUE),1)</f>
        <v>26</v>
      </c>
      <c r="O1607" s="42" t="str">
        <f>VLOOKUP($D1607,Sheet1!$G$5:$I$192,2,TRUE)</f>
        <v>'/|)</v>
      </c>
      <c r="P1607" s="23">
        <v>1</v>
      </c>
      <c r="Q1607" s="43" t="str">
        <f>VLOOKUP($D1607,Sheet1!$J$5:$L$192,2,TRUE)</f>
        <v>'/|)'</v>
      </c>
      <c r="R1607" s="23">
        <f>FLOOR(VLOOKUP($D1607,Sheet1!$M$5:$O$192,3,TRUE),1)</f>
        <v>105</v>
      </c>
      <c r="S1607" s="42" t="str">
        <f>VLOOKUP($D1607,Sheet1!$M$5:$O$192,2,TRUE)</f>
        <v>'/|)'</v>
      </c>
      <c r="T1607" s="117">
        <f>IF(ABS(D1607-VLOOKUP($D1607,Sheet1!$M$5:$T$192,8,TRUE))&lt;10^-10,"SoCA",D1607-VLOOKUP($D1607,Sheet1!$M$5:$T$192,8,TRUE))</f>
        <v>-3.2576253579179593E-3</v>
      </c>
      <c r="U1607" s="109">
        <f>IF(VLOOKUP($D1607,Sheet1!$M$5:$U$192,9,TRUE)=0,"",IF(ABS(D1607-VLOOKUP($D1607,Sheet1!$M$5:$U$192,9,TRUE))&lt;10^-10,"Alt.",D1607-VLOOKUP($D1607,Sheet1!$M$5:$U$192,9,TRUE)))</f>
        <v>2.3702669844517743E-2</v>
      </c>
      <c r="V1607" s="132">
        <f>$D1607-Sheet1!$M$3*$R1607</f>
        <v>-8.7879772764537734E-2</v>
      </c>
      <c r="Z1607" s="6"/>
      <c r="AA1607" s="61"/>
    </row>
    <row r="1608" spans="1:27" ht="13.5">
      <c r="A1608" t="s">
        <v>1500</v>
      </c>
      <c r="B1608">
        <v>21495808</v>
      </c>
      <c r="C1608">
        <v>22143375</v>
      </c>
      <c r="D1608" s="13">
        <f t="shared" si="33"/>
        <v>51.383745572065443</v>
      </c>
      <c r="E1608" s="61">
        <v>41</v>
      </c>
      <c r="F1608" s="65">
        <v>103.93219083905699</v>
      </c>
      <c r="G1608" s="6">
        <v>1411</v>
      </c>
      <c r="H1608" s="6">
        <v>1349</v>
      </c>
      <c r="I1608" s="65">
        <v>7.836115583950761</v>
      </c>
      <c r="J1608" s="6">
        <f>VLOOKUP($D1608,Sheet1!$A$5:$C$192,3,TRUE)</f>
        <v>10</v>
      </c>
      <c r="K1608" s="42" t="str">
        <f>VLOOKUP($D1608,Sheet1!$A$5:$C$192,2,TRUE)</f>
        <v>/|\</v>
      </c>
      <c r="L1608" s="6">
        <f>FLOOR(VLOOKUP($D1608,Sheet1!$D$5:$F$192,3,TRUE),1)</f>
        <v>21</v>
      </c>
      <c r="M1608" s="42" t="str">
        <f>VLOOKUP($D1608,Sheet1!$D$5:$F$192,2,TRUE)</f>
        <v>(|~</v>
      </c>
      <c r="N1608" s="23">
        <f>FLOOR(VLOOKUP($D1608,Sheet1!$G$5:$I$192,3,TRUE),1)</f>
        <v>26</v>
      </c>
      <c r="O1608" s="42" t="str">
        <f>VLOOKUP($D1608,Sheet1!$G$5:$I$192,2,TRUE)</f>
        <v>./|\</v>
      </c>
      <c r="P1608" s="23">
        <v>1</v>
      </c>
      <c r="Q1608" s="43" t="str">
        <f>VLOOKUP($D1608,Sheet1!$J$5:$L$192,2,TRUE)</f>
        <v>./|\</v>
      </c>
      <c r="R1608" s="23">
        <f>FLOOR(VLOOKUP($D1608,Sheet1!$M$5:$O$192,3,TRUE),1)</f>
        <v>105</v>
      </c>
      <c r="S1608" s="42" t="str">
        <f>VLOOKUP($D1608,Sheet1!$M$5:$O$192,2,TRUE)</f>
        <v>./|\</v>
      </c>
      <c r="T1608" s="117">
        <f>IF(ABS(D1608-VLOOKUP($D1608,Sheet1!$M$5:$T$192,8,TRUE))&lt;10^-10,"SoCA",D1608-VLOOKUP($D1608,Sheet1!$M$5:$T$192,8,TRUE))</f>
        <v>6.4523129855480477E-2</v>
      </c>
      <c r="U1608" s="109" t="str">
        <f>IF(VLOOKUP($D1608,Sheet1!$M$5:$U$192,9,TRUE)=0,"",IF(ABS(D1608-VLOOKUP($D1608,Sheet1!$M$5:$U$192,9,TRUE))&lt;10^-10,"Alt.",D1608-VLOOKUP($D1608,Sheet1!$M$5:$U$192,9,TRUE)))</f>
        <v/>
      </c>
      <c r="V1608" s="132">
        <f>$D1608-Sheet1!$M$3*$R1608</f>
        <v>0.15230507395492054</v>
      </c>
      <c r="Z1608" s="6"/>
      <c r="AA1608" s="61"/>
    </row>
    <row r="1609" spans="1:27" ht="13.5">
      <c r="A1609" t="s">
        <v>584</v>
      </c>
      <c r="B1609">
        <v>568</v>
      </c>
      <c r="C1609">
        <v>585</v>
      </c>
      <c r="D1609" s="13">
        <f t="shared" si="33"/>
        <v>51.054833959301796</v>
      </c>
      <c r="E1609" s="61" t="s">
        <v>1931</v>
      </c>
      <c r="F1609" s="65">
        <v>106.87736625317791</v>
      </c>
      <c r="G1609" s="6">
        <v>484</v>
      </c>
      <c r="H1609" s="6">
        <v>429</v>
      </c>
      <c r="I1609" s="65">
        <v>-1.1436321297611358</v>
      </c>
      <c r="J1609" s="6">
        <f>VLOOKUP($D1609,Sheet1!$A$5:$C$192,3,TRUE)</f>
        <v>9</v>
      </c>
      <c r="K1609" s="42" t="str">
        <f>VLOOKUP($D1609,Sheet1!$A$5:$C$192,2,TRUE)</f>
        <v>/|)</v>
      </c>
      <c r="L1609" s="6">
        <f>FLOOR(VLOOKUP($D1609,Sheet1!$D$5:$F$192,3,TRUE),1)</f>
        <v>21</v>
      </c>
      <c r="M1609" s="42" t="str">
        <f>VLOOKUP($D1609,Sheet1!$D$5:$F$192,2,TRUE)</f>
        <v>(|~</v>
      </c>
      <c r="N1609" s="23">
        <f>FLOOR(VLOOKUP($D1609,Sheet1!$G$5:$I$192,3,TRUE),1)</f>
        <v>26</v>
      </c>
      <c r="O1609" s="42" t="str">
        <f>VLOOKUP($D1609,Sheet1!$G$5:$I$192,2,TRUE)</f>
        <v>'/|)</v>
      </c>
      <c r="P1609" s="23">
        <v>1</v>
      </c>
      <c r="Q1609" s="43" t="str">
        <f>VLOOKUP($D1609,Sheet1!$J$5:$L$192,2,TRUE)</f>
        <v>'/|)'</v>
      </c>
      <c r="R1609" s="23">
        <f>FLOOR(VLOOKUP($D1609,Sheet1!$M$5:$O$192,3,TRUE),1)</f>
        <v>105</v>
      </c>
      <c r="S1609" s="42" t="str">
        <f>VLOOKUP($D1609,Sheet1!$M$5:$O$192,2,TRUE)</f>
        <v>'/|)'</v>
      </c>
      <c r="T1609" s="117">
        <f>IF(ABS(D1609-VLOOKUP($D1609,Sheet1!$M$5:$T$192,8,TRUE))&lt;10^-10,"SoCA",D1609-VLOOKUP($D1609,Sheet1!$M$5:$T$192,8,TRUE))</f>
        <v>-9.1984391402107235E-2</v>
      </c>
      <c r="U1609" s="109">
        <f>IF(VLOOKUP($D1609,Sheet1!$M$5:$U$192,9,TRUE)=0,"",IF(ABS(D1609-VLOOKUP($D1609,Sheet1!$M$5:$U$192,9,TRUE))&lt;10^-10,"Alt.",D1609-VLOOKUP($D1609,Sheet1!$M$5:$U$192,9,TRUE)))</f>
        <v>-6.5024096199671533E-2</v>
      </c>
      <c r="V1609" s="132">
        <f>$D1609-Sheet1!$M$3*$R1609</f>
        <v>-0.17660653880872701</v>
      </c>
      <c r="Z1609" s="6"/>
      <c r="AA1609" s="61"/>
    </row>
    <row r="1610" spans="1:27" ht="13.5">
      <c r="A1610" t="s">
        <v>804</v>
      </c>
      <c r="B1610">
        <v>161051</v>
      </c>
      <c r="C1610">
        <v>165888</v>
      </c>
      <c r="D1610" s="13">
        <f t="shared" si="33"/>
        <v>51.230291637766257</v>
      </c>
      <c r="E1610" s="61">
        <v>11</v>
      </c>
      <c r="F1610" s="65">
        <v>110.19874686742536</v>
      </c>
      <c r="G1610" s="6">
        <v>742</v>
      </c>
      <c r="H1610" s="6">
        <v>650</v>
      </c>
      <c r="I1610" s="65">
        <v>0.84556430174868247</v>
      </c>
      <c r="J1610" s="6">
        <f>VLOOKUP($D1610,Sheet1!$A$5:$C$192,3,TRUE)</f>
        <v>10</v>
      </c>
      <c r="K1610" s="42" t="str">
        <f>VLOOKUP($D1610,Sheet1!$A$5:$C$192,2,TRUE)</f>
        <v>/|\</v>
      </c>
      <c r="L1610" s="6">
        <f>FLOOR(VLOOKUP($D1610,Sheet1!$D$5:$F$192,3,TRUE),1)</f>
        <v>21</v>
      </c>
      <c r="M1610" s="42" t="str">
        <f>VLOOKUP($D1610,Sheet1!$D$5:$F$192,2,TRUE)</f>
        <v>(|~</v>
      </c>
      <c r="N1610" s="23">
        <f>FLOOR(VLOOKUP($D1610,Sheet1!$G$5:$I$192,3,TRUE),1)</f>
        <v>26</v>
      </c>
      <c r="O1610" s="42" t="str">
        <f>VLOOKUP($D1610,Sheet1!$G$5:$I$192,2,TRUE)</f>
        <v>./|\</v>
      </c>
      <c r="P1610" s="23">
        <v>1</v>
      </c>
      <c r="Q1610" s="43" t="str">
        <f>VLOOKUP($D1610,Sheet1!$J$5:$L$192,2,TRUE)</f>
        <v>./|\</v>
      </c>
      <c r="R1610" s="23">
        <f>FLOOR(VLOOKUP($D1610,Sheet1!$M$5:$O$192,3,TRUE),1)</f>
        <v>105</v>
      </c>
      <c r="S1610" s="42" t="str">
        <f>VLOOKUP($D1610,Sheet1!$M$5:$O$192,2,TRUE)</f>
        <v>./|\</v>
      </c>
      <c r="T1610" s="117">
        <f>IF(ABS(D1610-VLOOKUP($D1610,Sheet1!$M$5:$T$192,8,TRUE))&lt;10^-10,"SoCA",D1610-VLOOKUP($D1610,Sheet1!$M$5:$T$192,8,TRUE))</f>
        <v>-8.8930804443705824E-2</v>
      </c>
      <c r="U1610" s="109" t="str">
        <f>IF(VLOOKUP($D1610,Sheet1!$M$5:$U$192,9,TRUE)=0,"",IF(ABS(D1610-VLOOKUP($D1610,Sheet1!$M$5:$U$192,9,TRUE))&lt;10^-10,"Alt.",D1610-VLOOKUP($D1610,Sheet1!$M$5:$U$192,9,TRUE)))</f>
        <v/>
      </c>
      <c r="V1610" s="132">
        <f>$D1610-Sheet1!$M$3*$R1610</f>
        <v>-1.1488603442657563E-3</v>
      </c>
      <c r="Z1610" s="6"/>
      <c r="AA1610" s="61"/>
    </row>
    <row r="1611" spans="1:27" ht="13.5">
      <c r="A1611" t="s">
        <v>751</v>
      </c>
      <c r="B1611">
        <v>20000</v>
      </c>
      <c r="C1611">
        <v>20601</v>
      </c>
      <c r="D1611" s="13">
        <f t="shared" si="33"/>
        <v>51.257243338259393</v>
      </c>
      <c r="E1611" s="61" t="s">
        <v>1931</v>
      </c>
      <c r="F1611" s="65">
        <v>190.52404284419563</v>
      </c>
      <c r="G1611" s="6">
        <v>711</v>
      </c>
      <c r="H1611" s="6">
        <v>596</v>
      </c>
      <c r="I1611" s="65">
        <v>-0.15609521264107062</v>
      </c>
      <c r="J1611" s="6">
        <f>VLOOKUP($D1611,Sheet1!$A$5:$C$192,3,TRUE)</f>
        <v>10</v>
      </c>
      <c r="K1611" s="42" t="str">
        <f>VLOOKUP($D1611,Sheet1!$A$5:$C$192,2,TRUE)</f>
        <v>/|\</v>
      </c>
      <c r="L1611" s="6">
        <f>FLOOR(VLOOKUP($D1611,Sheet1!$D$5:$F$192,3,TRUE),1)</f>
        <v>21</v>
      </c>
      <c r="M1611" s="42" t="str">
        <f>VLOOKUP($D1611,Sheet1!$D$5:$F$192,2,TRUE)</f>
        <v>(|~</v>
      </c>
      <c r="N1611" s="23">
        <f>FLOOR(VLOOKUP($D1611,Sheet1!$G$5:$I$192,3,TRUE),1)</f>
        <v>26</v>
      </c>
      <c r="O1611" s="42" t="str">
        <f>VLOOKUP($D1611,Sheet1!$G$5:$I$192,2,TRUE)</f>
        <v>./|\</v>
      </c>
      <c r="P1611" s="23">
        <v>1</v>
      </c>
      <c r="Q1611" s="43" t="str">
        <f>VLOOKUP($D1611,Sheet1!$J$5:$L$192,2,TRUE)</f>
        <v>./|\</v>
      </c>
      <c r="R1611" s="23">
        <f>FLOOR(VLOOKUP($D1611,Sheet1!$M$5:$O$192,3,TRUE),1)</f>
        <v>105</v>
      </c>
      <c r="S1611" s="42" t="str">
        <f>VLOOKUP($D1611,Sheet1!$M$5:$O$192,2,TRUE)</f>
        <v>./|\</v>
      </c>
      <c r="T1611" s="117">
        <f>IF(ABS(D1611-VLOOKUP($D1611,Sheet1!$M$5:$T$192,8,TRUE))&lt;10^-10,"SoCA",D1611-VLOOKUP($D1611,Sheet1!$M$5:$T$192,8,TRUE))</f>
        <v>-6.1979103950569936E-2</v>
      </c>
      <c r="U1611" s="109" t="str">
        <f>IF(VLOOKUP($D1611,Sheet1!$M$5:$U$192,9,TRUE)=0,"",IF(ABS(D1611-VLOOKUP($D1611,Sheet1!$M$5:$U$192,9,TRUE))&lt;10^-10,"Alt.",D1611-VLOOKUP($D1611,Sheet1!$M$5:$U$192,9,TRUE)))</f>
        <v/>
      </c>
      <c r="V1611" s="132">
        <f>$D1611-Sheet1!$M$3*$R1611</f>
        <v>2.5802840148870132E-2</v>
      </c>
      <c r="Z1611" s="6"/>
      <c r="AA1611" s="61"/>
    </row>
    <row r="1612" spans="1:27" ht="13.5">
      <c r="A1612" t="s">
        <v>1336</v>
      </c>
      <c r="B1612">
        <v>9909</v>
      </c>
      <c r="C1612">
        <v>10208</v>
      </c>
      <c r="D1612" s="13">
        <f t="shared" si="33"/>
        <v>51.466630509825578</v>
      </c>
      <c r="E1612" s="61" t="s">
        <v>1931</v>
      </c>
      <c r="F1612" s="65">
        <v>489.72807931150282</v>
      </c>
      <c r="G1612" s="6">
        <v>1248</v>
      </c>
      <c r="H1612" s="6">
        <v>1185</v>
      </c>
      <c r="I1612" s="65">
        <v>-6.1689879436333985</v>
      </c>
      <c r="J1612" s="6">
        <f>VLOOKUP($D1612,Sheet1!$A$5:$C$192,3,TRUE)</f>
        <v>10</v>
      </c>
      <c r="K1612" s="42" t="str">
        <f>VLOOKUP($D1612,Sheet1!$A$5:$C$192,2,TRUE)</f>
        <v>/|\</v>
      </c>
      <c r="L1612" s="6">
        <f>FLOOR(VLOOKUP($D1612,Sheet1!$D$5:$F$192,3,TRUE),1)</f>
        <v>21</v>
      </c>
      <c r="M1612" s="42" t="str">
        <f>VLOOKUP($D1612,Sheet1!$D$5:$F$192,2,TRUE)</f>
        <v>(|~</v>
      </c>
      <c r="N1612" s="23">
        <f>FLOOR(VLOOKUP($D1612,Sheet1!$G$5:$I$192,3,TRUE),1)</f>
        <v>26</v>
      </c>
      <c r="O1612" s="42" t="str">
        <f>VLOOKUP($D1612,Sheet1!$G$5:$I$192,2,TRUE)</f>
        <v>./|\</v>
      </c>
      <c r="P1612" s="23">
        <v>1</v>
      </c>
      <c r="Q1612" s="43" t="str">
        <f>VLOOKUP($D1612,Sheet1!$J$5:$L$192,2,TRUE)</f>
        <v>./|\</v>
      </c>
      <c r="R1612" s="23">
        <f>FLOOR(VLOOKUP($D1612,Sheet1!$M$5:$O$192,3,TRUE),1)</f>
        <v>105</v>
      </c>
      <c r="S1612" s="42" t="str">
        <f>VLOOKUP($D1612,Sheet1!$M$5:$O$192,2,TRUE)</f>
        <v>./|\</v>
      </c>
      <c r="T1612" s="117">
        <f>IF(ABS(D1612-VLOOKUP($D1612,Sheet1!$M$5:$T$192,8,TRUE))&lt;10^-10,"SoCA",D1612-VLOOKUP($D1612,Sheet1!$M$5:$T$192,8,TRUE))</f>
        <v>0.14740806761561487</v>
      </c>
      <c r="U1612" s="109" t="str">
        <f>IF(VLOOKUP($D1612,Sheet1!$M$5:$U$192,9,TRUE)=0,"",IF(ABS(D1612-VLOOKUP($D1612,Sheet1!$M$5:$U$192,9,TRUE))&lt;10^-10,"Alt.",D1612-VLOOKUP($D1612,Sheet1!$M$5:$U$192,9,TRUE)))</f>
        <v/>
      </c>
      <c r="V1612" s="132">
        <f>$D1612-Sheet1!$M$3*$R1612</f>
        <v>0.23519001171505494</v>
      </c>
      <c r="Z1612" s="6"/>
      <c r="AA1612" s="61"/>
    </row>
    <row r="1613" spans="1:27" ht="13.5">
      <c r="A1613" t="s">
        <v>1144</v>
      </c>
      <c r="B1613">
        <v>2427</v>
      </c>
      <c r="C1613">
        <v>2500</v>
      </c>
      <c r="D1613" s="13">
        <f t="shared" si="33"/>
        <v>51.304783677978747</v>
      </c>
      <c r="E1613" s="61" t="s">
        <v>1931</v>
      </c>
      <c r="F1613" s="65">
        <v>1326.768859989754</v>
      </c>
      <c r="G1613" s="6">
        <v>1050</v>
      </c>
      <c r="H1613" s="6">
        <v>993</v>
      </c>
      <c r="I1613" s="65">
        <v>-4.159022444556479</v>
      </c>
      <c r="J1613" s="6">
        <f>VLOOKUP($D1613,Sheet1!$A$5:$C$192,3,TRUE)</f>
        <v>10</v>
      </c>
      <c r="K1613" s="42" t="str">
        <f>VLOOKUP($D1613,Sheet1!$A$5:$C$192,2,TRUE)</f>
        <v>/|\</v>
      </c>
      <c r="L1613" s="6">
        <f>FLOOR(VLOOKUP($D1613,Sheet1!$D$5:$F$192,3,TRUE),1)</f>
        <v>21</v>
      </c>
      <c r="M1613" s="42" t="str">
        <f>VLOOKUP($D1613,Sheet1!$D$5:$F$192,2,TRUE)</f>
        <v>(|~</v>
      </c>
      <c r="N1613" s="23">
        <f>FLOOR(VLOOKUP($D1613,Sheet1!$G$5:$I$192,3,TRUE),1)</f>
        <v>26</v>
      </c>
      <c r="O1613" s="42" t="str">
        <f>VLOOKUP($D1613,Sheet1!$G$5:$I$192,2,TRUE)</f>
        <v>./|\</v>
      </c>
      <c r="P1613" s="23">
        <v>1</v>
      </c>
      <c r="Q1613" s="43" t="str">
        <f>VLOOKUP($D1613,Sheet1!$J$5:$L$192,2,TRUE)</f>
        <v>./|\</v>
      </c>
      <c r="R1613" s="23">
        <f>FLOOR(VLOOKUP($D1613,Sheet1!$M$5:$O$192,3,TRUE),1)</f>
        <v>105</v>
      </c>
      <c r="S1613" s="42" t="str">
        <f>VLOOKUP($D1613,Sheet1!$M$5:$O$192,2,TRUE)</f>
        <v>./|\</v>
      </c>
      <c r="T1613" s="117">
        <f>IF(ABS(D1613-VLOOKUP($D1613,Sheet1!$M$5:$T$192,8,TRUE))&lt;10^-10,"SoCA",D1613-VLOOKUP($D1613,Sheet1!$M$5:$T$192,8,TRUE))</f>
        <v>-1.4438764231215373E-2</v>
      </c>
      <c r="U1613" s="109" t="str">
        <f>IF(VLOOKUP($D1613,Sheet1!$M$5:$U$192,9,TRUE)=0,"",IF(ABS(D1613-VLOOKUP($D1613,Sheet1!$M$5:$U$192,9,TRUE))&lt;10^-10,"Alt.",D1613-VLOOKUP($D1613,Sheet1!$M$5:$U$192,9,TRUE)))</f>
        <v/>
      </c>
      <c r="V1613" s="132">
        <f>$D1613-Sheet1!$M$3*$R1613</f>
        <v>7.3343179868224695E-2</v>
      </c>
      <c r="Z1613" s="6"/>
      <c r="AA1613" s="61"/>
    </row>
    <row r="1614" spans="1:27" ht="13.5">
      <c r="A1614" s="87" t="s">
        <v>205</v>
      </c>
      <c r="B1614" s="87">
        <f>3*11</f>
        <v>33</v>
      </c>
      <c r="C1614" s="87">
        <f>2*17</f>
        <v>34</v>
      </c>
      <c r="D1614" s="13">
        <f t="shared" si="33"/>
        <v>51.68246627026312</v>
      </c>
      <c r="E1614" s="61">
        <v>17</v>
      </c>
      <c r="F1614" s="65">
        <v>28.189345499878897</v>
      </c>
      <c r="G1614" s="6">
        <v>69</v>
      </c>
      <c r="H1614" s="6">
        <v>65</v>
      </c>
      <c r="I1614" s="65">
        <v>-4.1822777377360243</v>
      </c>
      <c r="J1614" s="6">
        <f>VLOOKUP($D1614,Sheet1!$A$5:$C$192,3,TRUE)</f>
        <v>10</v>
      </c>
      <c r="K1614" s="42" t="str">
        <f>VLOOKUP($D1614,Sheet1!$A$5:$C$192,2,TRUE)</f>
        <v>/|\</v>
      </c>
      <c r="L1614" s="6">
        <f>FLOOR(VLOOKUP($D1614,Sheet1!$D$5:$F$192,3,TRUE),1)</f>
        <v>21</v>
      </c>
      <c r="M1614" s="42" t="str">
        <f>VLOOKUP($D1614,Sheet1!$D$5:$F$192,2,TRUE)</f>
        <v>(|~</v>
      </c>
      <c r="N1614" s="23">
        <f>FLOOR(VLOOKUP($D1614,Sheet1!$G$5:$I$192,3,TRUE),1)</f>
        <v>26</v>
      </c>
      <c r="O1614" s="42" t="str">
        <f>VLOOKUP($D1614,Sheet1!$G$5:$I$192,2,TRUE)</f>
        <v>./|\</v>
      </c>
      <c r="P1614" s="23">
        <v>1</v>
      </c>
      <c r="Q1614" s="45" t="str">
        <f>VLOOKUP($D1614,Sheet1!$J$5:$L$192,2,TRUE)</f>
        <v>./|\'</v>
      </c>
      <c r="R1614" s="38">
        <f>FLOOR(VLOOKUP($D1614,Sheet1!$M$5:$O$192,3,TRUE),1)</f>
        <v>106</v>
      </c>
      <c r="S1614" s="45" t="str">
        <f>VLOOKUP($D1614,Sheet1!$M$5:$O$192,2,TRUE)</f>
        <v>./|\'</v>
      </c>
      <c r="T1614" s="108">
        <f>IF(ABS(D1614-VLOOKUP($D1614,Sheet1!$M$5:$T$192,8,TRUE))&lt;10^-10,"SoCA",D1614-VLOOKUP($D1614,Sheet1!$M$5:$T$192,8,TRUE))</f>
        <v>-5.9472337901667061E-2</v>
      </c>
      <c r="U1614" s="108">
        <f>IF(VLOOKUP($D1614,Sheet1!$M$5:$U$192,9,TRUE)=0,"",IF(ABS(D1614-VLOOKUP($D1614,Sheet1!$M$5:$U$192,9,TRUE))&lt;10^-10,"Alt.",D1614-VLOOKUP($D1614,Sheet1!$M$5:$U$192,9,TRUE)))</f>
        <v>-3.2512042699231358E-2</v>
      </c>
      <c r="V1614" s="133">
        <f>$D1614-Sheet1!$M$3*$R1614</f>
        <v>-3.6892708781792294E-2</v>
      </c>
      <c r="Z1614" s="6"/>
      <c r="AA1614" s="61"/>
    </row>
    <row r="1615" spans="1:27" ht="13.5">
      <c r="A1615" s="23" t="s">
        <v>346</v>
      </c>
      <c r="B1615" s="23">
        <f>2^11*19</f>
        <v>38912</v>
      </c>
      <c r="C1615" s="23">
        <f>3^6*5*11</f>
        <v>40095</v>
      </c>
      <c r="D1615" s="13">
        <f t="shared" si="33"/>
        <v>51.84864528961328</v>
      </c>
      <c r="E1615" s="61">
        <v>19</v>
      </c>
      <c r="F1615" s="65">
        <v>42.708149594559004</v>
      </c>
      <c r="G1615" s="6">
        <v>195.1</v>
      </c>
      <c r="H1615" s="6">
        <v>180</v>
      </c>
      <c r="I1615" s="65">
        <v>2.8074900146194559</v>
      </c>
      <c r="J1615" s="6">
        <f>VLOOKUP($D1615,Sheet1!$A$5:$C$192,3,TRUE)</f>
        <v>10</v>
      </c>
      <c r="K1615" s="42" t="str">
        <f>VLOOKUP($D1615,Sheet1!$A$5:$C$192,2,TRUE)</f>
        <v>/|\</v>
      </c>
      <c r="L1615" s="6">
        <f>FLOOR(VLOOKUP($D1615,Sheet1!$D$5:$F$192,3,TRUE),1)</f>
        <v>21</v>
      </c>
      <c r="M1615" s="42" t="str">
        <f>VLOOKUP($D1615,Sheet1!$D$5:$F$192,2,TRUE)</f>
        <v>(|~</v>
      </c>
      <c r="N1615" s="23">
        <f>FLOOR(VLOOKUP($D1615,Sheet1!$G$5:$I$192,3,TRUE),1)</f>
        <v>26</v>
      </c>
      <c r="O1615" s="42" t="str">
        <f>VLOOKUP($D1615,Sheet1!$G$5:$I$192,2,TRUE)</f>
        <v>./|\</v>
      </c>
      <c r="P1615" s="23">
        <v>1</v>
      </c>
      <c r="Q1615" s="43" t="str">
        <f>VLOOKUP($D1615,Sheet1!$J$5:$L$192,2,TRUE)</f>
        <v>./|\'</v>
      </c>
      <c r="R1615" s="23">
        <f>FLOOR(VLOOKUP($D1615,Sheet1!$M$5:$O$192,3,TRUE),1)</f>
        <v>106</v>
      </c>
      <c r="S1615" s="43" t="str">
        <f>VLOOKUP($D1615,Sheet1!$M$5:$O$192,2,TRUE)</f>
        <v>./|\'</v>
      </c>
      <c r="T1615" s="117">
        <f>IF(ABS(D1615-VLOOKUP($D1615,Sheet1!$M$5:$T$192,8,TRUE))&lt;10^-10,"SoCA",D1615-VLOOKUP($D1615,Sheet1!$M$5:$T$192,8,TRUE))</f>
        <v>0.10670668144849316</v>
      </c>
      <c r="U1615" s="117">
        <f>IF(VLOOKUP($D1615,Sheet1!$M$5:$U$192,9,TRUE)=0,"",IF(ABS(D1615-VLOOKUP($D1615,Sheet1!$M$5:$U$192,9,TRUE))&lt;10^-10,"Alt.",D1615-VLOOKUP($D1615,Sheet1!$M$5:$U$192,9,TRUE)))</f>
        <v>0.13366697665092886</v>
      </c>
      <c r="V1615" s="132">
        <f>$D1615-Sheet1!$M$3*$R1615</f>
        <v>0.12928631056836792</v>
      </c>
      <c r="Z1615" s="6"/>
      <c r="AA1615" s="61"/>
    </row>
    <row r="1616" spans="1:27" ht="13.5">
      <c r="A1616" s="6" t="s">
        <v>1112</v>
      </c>
      <c r="B1616" s="6">
        <f>2^19</f>
        <v>524288</v>
      </c>
      <c r="C1616" s="6">
        <f>3^7*13*19</f>
        <v>540189</v>
      </c>
      <c r="D1616" s="13">
        <f t="shared" si="33"/>
        <v>51.72568395932511</v>
      </c>
      <c r="E1616" s="61">
        <v>19</v>
      </c>
      <c r="F1616" s="65">
        <v>46.183851084219853</v>
      </c>
      <c r="G1616" s="6">
        <v>1025.0999999999999</v>
      </c>
      <c r="H1616" s="6">
        <v>961.1</v>
      </c>
      <c r="I1616" s="65">
        <v>3.8150611916978145</v>
      </c>
      <c r="J1616" s="6">
        <f>VLOOKUP($D1616,Sheet1!$A$5:$C$192,3,TRUE)</f>
        <v>10</v>
      </c>
      <c r="K1616" s="42" t="str">
        <f>VLOOKUP($D1616,Sheet1!$A$5:$C$192,2,TRUE)</f>
        <v>/|\</v>
      </c>
      <c r="L1616" s="6">
        <f>FLOOR(VLOOKUP($D1616,Sheet1!$D$5:$F$192,3,TRUE),1)</f>
        <v>21</v>
      </c>
      <c r="M1616" s="42" t="str">
        <f>VLOOKUP($D1616,Sheet1!$D$5:$F$192,2,TRUE)</f>
        <v>(|~</v>
      </c>
      <c r="N1616" s="23">
        <f>FLOOR(VLOOKUP($D1616,Sheet1!$G$5:$I$192,3,TRUE),1)</f>
        <v>26</v>
      </c>
      <c r="O1616" s="42" t="str">
        <f>VLOOKUP($D1616,Sheet1!$G$5:$I$192,2,TRUE)</f>
        <v>./|\</v>
      </c>
      <c r="P1616" s="23">
        <v>1</v>
      </c>
      <c r="Q1616" s="43" t="str">
        <f>VLOOKUP($D1616,Sheet1!$J$5:$L$192,2,TRUE)</f>
        <v>./|\'</v>
      </c>
      <c r="R1616" s="23">
        <f>FLOOR(VLOOKUP($D1616,Sheet1!$M$5:$O$192,3,TRUE),1)</f>
        <v>106</v>
      </c>
      <c r="S1616" s="42" t="str">
        <f>VLOOKUP($D1616,Sheet1!$M$5:$O$192,2,TRUE)</f>
        <v>./|\'</v>
      </c>
      <c r="T1616" s="117">
        <f>IF(ABS(D1616-VLOOKUP($D1616,Sheet1!$M$5:$T$192,8,TRUE))&lt;10^-10,"SoCA",D1616-VLOOKUP($D1616,Sheet1!$M$5:$T$192,8,TRUE))</f>
        <v>-1.6254648839677088E-2</v>
      </c>
      <c r="U1616" s="109">
        <f>IF(VLOOKUP($D1616,Sheet1!$M$5:$U$192,9,TRUE)=0,"",IF(ABS(D1616-VLOOKUP($D1616,Sheet1!$M$5:$U$192,9,TRUE))&lt;10^-10,"Alt.",D1616-VLOOKUP($D1616,Sheet1!$M$5:$U$192,9,TRUE)))</f>
        <v>1.0705646362758614E-2</v>
      </c>
      <c r="V1616" s="132">
        <f>$D1616-Sheet1!$M$3*$R1616</f>
        <v>6.3249802801976784E-3</v>
      </c>
      <c r="Z1616" s="6"/>
      <c r="AA1616" s="61"/>
    </row>
    <row r="1617" spans="1:27" ht="13.5">
      <c r="A1617" s="6" t="s">
        <v>1870</v>
      </c>
      <c r="B1617" s="6">
        <f>3^8</f>
        <v>6561</v>
      </c>
      <c r="C1617" s="6">
        <f>2^3*5*13^2</f>
        <v>6760</v>
      </c>
      <c r="D1617" s="13">
        <f t="shared" si="33"/>
        <v>51.729030480356627</v>
      </c>
      <c r="E1617" s="61">
        <v>13</v>
      </c>
      <c r="F1617" s="65">
        <v>74.560030690384636</v>
      </c>
      <c r="G1617" s="59">
        <v>1706</v>
      </c>
      <c r="H1617" s="63">
        <v>1000075</v>
      </c>
      <c r="I1617" s="65">
        <v>-11.185144865794136</v>
      </c>
      <c r="J1617" s="6">
        <f>VLOOKUP($D1617,Sheet1!$A$5:$C$192,3,TRUE)</f>
        <v>10</v>
      </c>
      <c r="K1617" s="42" t="str">
        <f>VLOOKUP($D1617,Sheet1!$A$5:$C$192,2,TRUE)</f>
        <v>/|\</v>
      </c>
      <c r="L1617" s="6">
        <f>FLOOR(VLOOKUP($D1617,Sheet1!$D$5:$F$192,3,TRUE),1)</f>
        <v>21</v>
      </c>
      <c r="M1617" s="42" t="str">
        <f>VLOOKUP($D1617,Sheet1!$D$5:$F$192,2,TRUE)</f>
        <v>(|~</v>
      </c>
      <c r="N1617" s="23">
        <f>FLOOR(VLOOKUP($D1617,Sheet1!$G$5:$I$192,3,TRUE),1)</f>
        <v>26</v>
      </c>
      <c r="O1617" s="42" t="str">
        <f>VLOOKUP($D1617,Sheet1!$G$5:$I$192,2,TRUE)</f>
        <v>./|\</v>
      </c>
      <c r="P1617" s="23">
        <v>1</v>
      </c>
      <c r="Q1617" s="43" t="str">
        <f>VLOOKUP($D1617,Sheet1!$J$5:$L$192,2,TRUE)</f>
        <v>./|\'</v>
      </c>
      <c r="R1617" s="23">
        <f>FLOOR(VLOOKUP($D1617,Sheet1!$M$5:$O$192,3,TRUE),1)</f>
        <v>106</v>
      </c>
      <c r="S1617" s="42" t="str">
        <f>VLOOKUP($D1617,Sheet1!$M$5:$O$192,2,TRUE)</f>
        <v>./|\'</v>
      </c>
      <c r="T1617" s="117">
        <f>IF(ABS(D1617-VLOOKUP($D1617,Sheet1!$M$5:$T$192,8,TRUE))&lt;10^-10,"SoCA",D1617-VLOOKUP($D1617,Sheet1!$M$5:$T$192,8,TRUE))</f>
        <v>-1.2908127808159975E-2</v>
      </c>
      <c r="U1617" s="109">
        <f>IF(VLOOKUP($D1617,Sheet1!$M$5:$U$192,9,TRUE)=0,"",IF(ABS(D1617-VLOOKUP($D1617,Sheet1!$M$5:$U$192,9,TRUE))&lt;10^-10,"Alt.",D1617-VLOOKUP($D1617,Sheet1!$M$5:$U$192,9,TRUE)))</f>
        <v>1.4052167394275727E-2</v>
      </c>
      <c r="V1617" s="132">
        <f>$D1617-Sheet1!$M$3*$R1617</f>
        <v>9.6715013117147919E-3</v>
      </c>
      <c r="Z1617" s="6"/>
      <c r="AA1617" s="61"/>
    </row>
    <row r="1618" spans="1:27" ht="13.5">
      <c r="A1618" s="6" t="s">
        <v>588</v>
      </c>
      <c r="B1618" s="6">
        <f>2^19</f>
        <v>524288</v>
      </c>
      <c r="C1618" s="6">
        <f>3^2*5^2*7^4</f>
        <v>540225</v>
      </c>
      <c r="D1618" s="13">
        <f t="shared" si="33"/>
        <v>51.841055336944187</v>
      </c>
      <c r="E1618" s="61">
        <v>7</v>
      </c>
      <c r="F1618" s="65">
        <v>83.664036590382466</v>
      </c>
      <c r="G1618" s="6">
        <v>486</v>
      </c>
      <c r="H1618" s="6">
        <v>433</v>
      </c>
      <c r="I1618" s="65">
        <v>-1.192042644343005</v>
      </c>
      <c r="J1618" s="6">
        <f>VLOOKUP($D1618,Sheet1!$A$5:$C$192,3,TRUE)</f>
        <v>10</v>
      </c>
      <c r="K1618" s="42" t="str">
        <f>VLOOKUP($D1618,Sheet1!$A$5:$C$192,2,TRUE)</f>
        <v>/|\</v>
      </c>
      <c r="L1618" s="6">
        <f>FLOOR(VLOOKUP($D1618,Sheet1!$D$5:$F$192,3,TRUE),1)</f>
        <v>21</v>
      </c>
      <c r="M1618" s="42" t="str">
        <f>VLOOKUP($D1618,Sheet1!$D$5:$F$192,2,TRUE)</f>
        <v>(|~</v>
      </c>
      <c r="N1618" s="23">
        <f>FLOOR(VLOOKUP($D1618,Sheet1!$G$5:$I$192,3,TRUE),1)</f>
        <v>26</v>
      </c>
      <c r="O1618" s="42" t="str">
        <f>VLOOKUP($D1618,Sheet1!$G$5:$I$192,2,TRUE)</f>
        <v>./|\</v>
      </c>
      <c r="P1618" s="23">
        <v>1</v>
      </c>
      <c r="Q1618" s="43" t="str">
        <f>VLOOKUP($D1618,Sheet1!$J$5:$L$192,2,TRUE)</f>
        <v>./|\'</v>
      </c>
      <c r="R1618" s="23">
        <f>FLOOR(VLOOKUP($D1618,Sheet1!$M$5:$O$192,3,TRUE),1)</f>
        <v>106</v>
      </c>
      <c r="S1618" s="42" t="str">
        <f>VLOOKUP($D1618,Sheet1!$M$5:$O$192,2,TRUE)</f>
        <v>./|\'</v>
      </c>
      <c r="T1618" s="117">
        <f>IF(ABS(D1618-VLOOKUP($D1618,Sheet1!$M$5:$T$192,8,TRUE))&lt;10^-10,"SoCA",D1618-VLOOKUP($D1618,Sheet1!$M$5:$T$192,8,TRUE))</f>
        <v>9.9116728779399921E-2</v>
      </c>
      <c r="U1618" s="109">
        <f>IF(VLOOKUP($D1618,Sheet1!$M$5:$U$192,9,TRUE)=0,"",IF(ABS(D1618-VLOOKUP($D1618,Sheet1!$M$5:$U$192,9,TRUE))&lt;10^-10,"Alt.",D1618-VLOOKUP($D1618,Sheet1!$M$5:$U$192,9,TRUE)))</f>
        <v>0.12607702398183562</v>
      </c>
      <c r="V1618" s="132">
        <f>$D1618-Sheet1!$M$3*$R1618</f>
        <v>0.12169635789927469</v>
      </c>
      <c r="Z1618" s="6"/>
      <c r="AA1618" s="61"/>
    </row>
    <row r="1619" spans="1:27" ht="13.5">
      <c r="A1619" t="s">
        <v>837</v>
      </c>
      <c r="B1619">
        <v>32768</v>
      </c>
      <c r="C1619">
        <v>33759</v>
      </c>
      <c r="D1619" s="13">
        <f t="shared" si="33"/>
        <v>51.581458924538502</v>
      </c>
      <c r="E1619" s="61">
        <v>31</v>
      </c>
      <c r="F1619" s="65">
        <v>84.869286095367315</v>
      </c>
      <c r="G1619" s="6">
        <v>759</v>
      </c>
      <c r="H1619" s="6">
        <v>684</v>
      </c>
      <c r="I1619" s="65">
        <v>-1.1760583474699651</v>
      </c>
      <c r="J1619" s="6">
        <f>VLOOKUP($D1619,Sheet1!$A$5:$C$192,3,TRUE)</f>
        <v>10</v>
      </c>
      <c r="K1619" s="42" t="str">
        <f>VLOOKUP($D1619,Sheet1!$A$5:$C$192,2,TRUE)</f>
        <v>/|\</v>
      </c>
      <c r="L1619" s="6">
        <f>FLOOR(VLOOKUP($D1619,Sheet1!$D$5:$F$192,3,TRUE),1)</f>
        <v>21</v>
      </c>
      <c r="M1619" s="42" t="str">
        <f>VLOOKUP($D1619,Sheet1!$D$5:$F$192,2,TRUE)</f>
        <v>(|~</v>
      </c>
      <c r="N1619" s="23">
        <f>FLOOR(VLOOKUP($D1619,Sheet1!$G$5:$I$192,3,TRUE),1)</f>
        <v>26</v>
      </c>
      <c r="O1619" s="42" t="str">
        <f>VLOOKUP($D1619,Sheet1!$G$5:$I$192,2,TRUE)</f>
        <v>./|\</v>
      </c>
      <c r="P1619" s="23">
        <v>1</v>
      </c>
      <c r="Q1619" s="43" t="str">
        <f>VLOOKUP($D1619,Sheet1!$J$5:$L$192,2,TRUE)</f>
        <v>./|\'</v>
      </c>
      <c r="R1619" s="23">
        <f>FLOOR(VLOOKUP($D1619,Sheet1!$M$5:$O$192,3,TRUE),1)</f>
        <v>106</v>
      </c>
      <c r="S1619" s="42" t="str">
        <f>VLOOKUP($D1619,Sheet1!$M$5:$O$192,2,TRUE)</f>
        <v>./|\'</v>
      </c>
      <c r="T1619" s="117">
        <f>IF(ABS(D1619-VLOOKUP($D1619,Sheet1!$M$5:$T$192,8,TRUE))&lt;10^-10,"SoCA",D1619-VLOOKUP($D1619,Sheet1!$M$5:$T$192,8,TRUE))</f>
        <v>-0.16047968362628495</v>
      </c>
      <c r="U1619" s="109">
        <f>IF(VLOOKUP($D1619,Sheet1!$M$5:$U$192,9,TRUE)=0,"",IF(ABS(D1619-VLOOKUP($D1619,Sheet1!$M$5:$U$192,9,TRUE))&lt;10^-10,"Alt.",D1619-VLOOKUP($D1619,Sheet1!$M$5:$U$192,9,TRUE)))</f>
        <v>-0.13351938842384925</v>
      </c>
      <c r="V1619" s="132">
        <f>$D1619-Sheet1!$M$3*$R1619</f>
        <v>-0.13790005450641019</v>
      </c>
      <c r="Z1619" s="6"/>
      <c r="AA1619" s="61"/>
    </row>
    <row r="1620" spans="1:27" ht="13.5">
      <c r="A1620" t="s">
        <v>1204</v>
      </c>
      <c r="B1620">
        <v>16777216</v>
      </c>
      <c r="C1620">
        <v>17288235</v>
      </c>
      <c r="D1620" s="13">
        <f t="shared" si="33"/>
        <v>51.944702752591702</v>
      </c>
      <c r="E1620" s="61">
        <v>31</v>
      </c>
      <c r="F1620" s="65">
        <v>87.942299735239089</v>
      </c>
      <c r="G1620" s="6">
        <v>1109</v>
      </c>
      <c r="H1620" s="6">
        <v>1053</v>
      </c>
      <c r="I1620" s="65">
        <v>4.8015754066674834</v>
      </c>
      <c r="J1620" s="6">
        <f>VLOOKUP($D1620,Sheet1!$A$5:$C$192,3,TRUE)</f>
        <v>10</v>
      </c>
      <c r="K1620" s="42" t="str">
        <f>VLOOKUP($D1620,Sheet1!$A$5:$C$192,2,TRUE)</f>
        <v>/|\</v>
      </c>
      <c r="L1620" s="6">
        <f>FLOOR(VLOOKUP($D1620,Sheet1!$D$5:$F$192,3,TRUE),1)</f>
        <v>21</v>
      </c>
      <c r="M1620" s="42" t="str">
        <f>VLOOKUP($D1620,Sheet1!$D$5:$F$192,2,TRUE)</f>
        <v>(|~</v>
      </c>
      <c r="N1620" s="23">
        <f>FLOOR(VLOOKUP($D1620,Sheet1!$G$5:$I$192,3,TRUE),1)</f>
        <v>26</v>
      </c>
      <c r="O1620" s="42" t="str">
        <f>VLOOKUP($D1620,Sheet1!$G$5:$I$192,2,TRUE)</f>
        <v>./|\</v>
      </c>
      <c r="P1620" s="23">
        <v>1</v>
      </c>
      <c r="Q1620" s="43" t="str">
        <f>VLOOKUP($D1620,Sheet1!$J$5:$L$192,2,TRUE)</f>
        <v>./|\'</v>
      </c>
      <c r="R1620" s="23">
        <f>FLOOR(VLOOKUP($D1620,Sheet1!$M$5:$O$192,3,TRUE),1)</f>
        <v>106</v>
      </c>
      <c r="S1620" s="42" t="str">
        <f>VLOOKUP($D1620,Sheet1!$M$5:$O$192,2,TRUE)</f>
        <v>./|\'</v>
      </c>
      <c r="T1620" s="117">
        <f>IF(ABS(D1620-VLOOKUP($D1620,Sheet1!$M$5:$T$192,8,TRUE))&lt;10^-10,"SoCA",D1620-VLOOKUP($D1620,Sheet1!$M$5:$T$192,8,TRUE))</f>
        <v>0.20276414442691504</v>
      </c>
      <c r="U1620" s="109">
        <f>IF(VLOOKUP($D1620,Sheet1!$M$5:$U$192,9,TRUE)=0,"",IF(ABS(D1620-VLOOKUP($D1620,Sheet1!$M$5:$U$192,9,TRUE))&lt;10^-10,"Alt.",D1620-VLOOKUP($D1620,Sheet1!$M$5:$U$192,9,TRUE)))</f>
        <v>0.22972443962935074</v>
      </c>
      <c r="V1620" s="132">
        <f>$D1620-Sheet1!$M$3*$R1620</f>
        <v>0.22534377354678981</v>
      </c>
      <c r="Z1620" s="6"/>
      <c r="AA1620" s="61"/>
    </row>
    <row r="1621" spans="1:27" ht="13.5">
      <c r="A1621" t="s">
        <v>633</v>
      </c>
      <c r="B1621">
        <v>230</v>
      </c>
      <c r="C1621">
        <v>237</v>
      </c>
      <c r="D1621" s="13">
        <f t="shared" si="33"/>
        <v>51.903837544660739</v>
      </c>
      <c r="E1621" s="61" t="s">
        <v>1931</v>
      </c>
      <c r="F1621" s="65">
        <v>128.48528763590284</v>
      </c>
      <c r="G1621" s="6">
        <v>528</v>
      </c>
      <c r="H1621" s="6">
        <v>478</v>
      </c>
      <c r="I1621" s="65">
        <v>-2.1959083736001483</v>
      </c>
      <c r="J1621" s="6">
        <f>VLOOKUP($D1621,Sheet1!$A$5:$C$192,3,TRUE)</f>
        <v>10</v>
      </c>
      <c r="K1621" s="42" t="str">
        <f>VLOOKUP($D1621,Sheet1!$A$5:$C$192,2,TRUE)</f>
        <v>/|\</v>
      </c>
      <c r="L1621" s="6">
        <f>FLOOR(VLOOKUP($D1621,Sheet1!$D$5:$F$192,3,TRUE),1)</f>
        <v>21</v>
      </c>
      <c r="M1621" s="42" t="str">
        <f>VLOOKUP($D1621,Sheet1!$D$5:$F$192,2,TRUE)</f>
        <v>(|~</v>
      </c>
      <c r="N1621" s="23">
        <f>FLOOR(VLOOKUP($D1621,Sheet1!$G$5:$I$192,3,TRUE),1)</f>
        <v>26</v>
      </c>
      <c r="O1621" s="42" t="str">
        <f>VLOOKUP($D1621,Sheet1!$G$5:$I$192,2,TRUE)</f>
        <v>./|\</v>
      </c>
      <c r="P1621" s="23">
        <v>1</v>
      </c>
      <c r="Q1621" s="43" t="str">
        <f>VLOOKUP($D1621,Sheet1!$J$5:$L$192,2,TRUE)</f>
        <v>./|\'</v>
      </c>
      <c r="R1621" s="23">
        <f>FLOOR(VLOOKUP($D1621,Sheet1!$M$5:$O$192,3,TRUE),1)</f>
        <v>106</v>
      </c>
      <c r="S1621" s="42" t="str">
        <f>VLOOKUP($D1621,Sheet1!$M$5:$O$192,2,TRUE)</f>
        <v>./|\'</v>
      </c>
      <c r="T1621" s="117">
        <f>IF(ABS(D1621-VLOOKUP($D1621,Sheet1!$M$5:$T$192,8,TRUE))&lt;10^-10,"SoCA",D1621-VLOOKUP($D1621,Sheet1!$M$5:$T$192,8,TRUE))</f>
        <v>0.16189893649595177</v>
      </c>
      <c r="U1621" s="109">
        <f>IF(VLOOKUP($D1621,Sheet1!$M$5:$U$192,9,TRUE)=0,"",IF(ABS(D1621-VLOOKUP($D1621,Sheet1!$M$5:$U$192,9,TRUE))&lt;10^-10,"Alt.",D1621-VLOOKUP($D1621,Sheet1!$M$5:$U$192,9,TRUE)))</f>
        <v>0.18885923169838748</v>
      </c>
      <c r="V1621" s="132">
        <f>$D1621-Sheet1!$M$3*$R1621</f>
        <v>0.18447856561582654</v>
      </c>
      <c r="Z1621" s="6"/>
      <c r="AA1621" s="61"/>
    </row>
    <row r="1622" spans="1:27" ht="13.5">
      <c r="A1622" t="s">
        <v>1264</v>
      </c>
      <c r="B1622">
        <v>15990784</v>
      </c>
      <c r="C1622">
        <v>16474671</v>
      </c>
      <c r="D1622" s="13">
        <f t="shared" si="33"/>
        <v>51.6107777734358</v>
      </c>
      <c r="E1622" s="61" t="s">
        <v>1931</v>
      </c>
      <c r="F1622" s="65">
        <v>149.08145125212772</v>
      </c>
      <c r="G1622" s="6">
        <v>889</v>
      </c>
      <c r="H1622" s="6">
        <v>1113</v>
      </c>
      <c r="I1622" s="65">
        <v>8.8221363841890472</v>
      </c>
      <c r="J1622" s="6">
        <f>VLOOKUP($D1622,Sheet1!$A$5:$C$192,3,TRUE)</f>
        <v>10</v>
      </c>
      <c r="K1622" s="42" t="str">
        <f>VLOOKUP($D1622,Sheet1!$A$5:$C$192,2,TRUE)</f>
        <v>/|\</v>
      </c>
      <c r="L1622" s="6">
        <f>FLOOR(VLOOKUP($D1622,Sheet1!$D$5:$F$192,3,TRUE),1)</f>
        <v>21</v>
      </c>
      <c r="M1622" s="42" t="str">
        <f>VLOOKUP($D1622,Sheet1!$D$5:$F$192,2,TRUE)</f>
        <v>(|~</v>
      </c>
      <c r="N1622" s="23">
        <f>FLOOR(VLOOKUP($D1622,Sheet1!$G$5:$I$192,3,TRUE),1)</f>
        <v>26</v>
      </c>
      <c r="O1622" s="42" t="str">
        <f>VLOOKUP($D1622,Sheet1!$G$5:$I$192,2,TRUE)</f>
        <v>./|\</v>
      </c>
      <c r="P1622" s="23">
        <v>1</v>
      </c>
      <c r="Q1622" s="43" t="str">
        <f>VLOOKUP($D1622,Sheet1!$J$5:$L$192,2,TRUE)</f>
        <v>./|\'</v>
      </c>
      <c r="R1622" s="23">
        <f>FLOOR(VLOOKUP($D1622,Sheet1!$M$5:$O$192,3,TRUE),1)</f>
        <v>106</v>
      </c>
      <c r="S1622" s="42" t="str">
        <f>VLOOKUP($D1622,Sheet1!$M$5:$O$192,2,TRUE)</f>
        <v>./|\'</v>
      </c>
      <c r="T1622" s="117">
        <f>IF(ABS(D1622-VLOOKUP($D1622,Sheet1!$M$5:$T$192,8,TRUE))&lt;10^-10,"SoCA",D1622-VLOOKUP($D1622,Sheet1!$M$5:$T$192,8,TRUE))</f>
        <v>-0.13116083472898765</v>
      </c>
      <c r="U1622" s="109">
        <f>IF(VLOOKUP($D1622,Sheet1!$M$5:$U$192,9,TRUE)=0,"",IF(ABS(D1622-VLOOKUP($D1622,Sheet1!$M$5:$U$192,9,TRUE))&lt;10^-10,"Alt.",D1622-VLOOKUP($D1622,Sheet1!$M$5:$U$192,9,TRUE)))</f>
        <v>-0.10420053952655195</v>
      </c>
      <c r="V1622" s="132">
        <f>$D1622-Sheet1!$M$3*$R1622</f>
        <v>-0.10858120560911289</v>
      </c>
      <c r="Z1622" s="6"/>
      <c r="AA1622" s="61"/>
    </row>
    <row r="1623" spans="1:27" ht="13.5">
      <c r="A1623" t="s">
        <v>1647</v>
      </c>
      <c r="B1623">
        <v>60507</v>
      </c>
      <c r="C1623">
        <v>62336</v>
      </c>
      <c r="D1623" s="13">
        <f t="shared" si="33"/>
        <v>51.556231690176503</v>
      </c>
      <c r="E1623" s="61" t="s">
        <v>1931</v>
      </c>
      <c r="F1623" s="65">
        <v>581.25591724277785</v>
      </c>
      <c r="G1623" s="6">
        <v>1555</v>
      </c>
      <c r="H1623" s="6">
        <v>1496</v>
      </c>
      <c r="I1623" s="65">
        <v>-9.1745050147424791</v>
      </c>
      <c r="J1623" s="6">
        <f>VLOOKUP($D1623,Sheet1!$A$5:$C$192,3,TRUE)</f>
        <v>10</v>
      </c>
      <c r="K1623" s="42" t="str">
        <f>VLOOKUP($D1623,Sheet1!$A$5:$C$192,2,TRUE)</f>
        <v>/|\</v>
      </c>
      <c r="L1623" s="6">
        <f>FLOOR(VLOOKUP($D1623,Sheet1!$D$5:$F$192,3,TRUE),1)</f>
        <v>21</v>
      </c>
      <c r="M1623" s="42" t="str">
        <f>VLOOKUP($D1623,Sheet1!$D$5:$F$192,2,TRUE)</f>
        <v>(|~</v>
      </c>
      <c r="N1623" s="23">
        <f>FLOOR(VLOOKUP($D1623,Sheet1!$G$5:$I$192,3,TRUE),1)</f>
        <v>26</v>
      </c>
      <c r="O1623" s="42" t="str">
        <f>VLOOKUP($D1623,Sheet1!$G$5:$I$192,2,TRUE)</f>
        <v>./|\</v>
      </c>
      <c r="P1623" s="23">
        <v>1</v>
      </c>
      <c r="Q1623" s="43" t="str">
        <f>VLOOKUP($D1623,Sheet1!$J$5:$L$192,2,TRUE)</f>
        <v>./|\'</v>
      </c>
      <c r="R1623" s="23">
        <f>FLOOR(VLOOKUP($D1623,Sheet1!$M$5:$O$192,3,TRUE),1)</f>
        <v>106</v>
      </c>
      <c r="S1623" s="42" t="str">
        <f>VLOOKUP($D1623,Sheet1!$M$5:$O$192,2,TRUE)</f>
        <v>./|\'</v>
      </c>
      <c r="T1623" s="117">
        <f>IF(ABS(D1623-VLOOKUP($D1623,Sheet1!$M$5:$T$192,8,TRUE))&lt;10^-10,"SoCA",D1623-VLOOKUP($D1623,Sheet1!$M$5:$T$192,8,TRUE))</f>
        <v>-0.1857069179882842</v>
      </c>
      <c r="U1623" s="109">
        <f>IF(VLOOKUP($D1623,Sheet1!$M$5:$U$192,9,TRUE)=0,"",IF(ABS(D1623-VLOOKUP($D1623,Sheet1!$M$5:$U$192,9,TRUE))&lt;10^-10,"Alt.",D1623-VLOOKUP($D1623,Sheet1!$M$5:$U$192,9,TRUE)))</f>
        <v>-0.1587466227858485</v>
      </c>
      <c r="V1623" s="132">
        <f>$D1623-Sheet1!$M$3*$R1623</f>
        <v>-0.16312728886840944</v>
      </c>
      <c r="Z1623" s="6"/>
      <c r="AA1623" s="61"/>
    </row>
    <row r="1624" spans="1:27" ht="13.5">
      <c r="A1624" t="s">
        <v>952</v>
      </c>
      <c r="B1624">
        <v>20000</v>
      </c>
      <c r="C1624">
        <v>20607</v>
      </c>
      <c r="D1624" s="13">
        <f t="shared" si="33"/>
        <v>51.761388376495276</v>
      </c>
      <c r="E1624" s="61" t="s">
        <v>1931</v>
      </c>
      <c r="F1624" s="65">
        <v>11022.559994366449</v>
      </c>
      <c r="G1624" s="6">
        <v>863</v>
      </c>
      <c r="H1624" s="6">
        <v>800</v>
      </c>
      <c r="I1624" s="65">
        <v>-2.1871372593456262</v>
      </c>
      <c r="J1624" s="6">
        <f>VLOOKUP($D1624,Sheet1!$A$5:$C$192,3,TRUE)</f>
        <v>10</v>
      </c>
      <c r="K1624" s="42" t="str">
        <f>VLOOKUP($D1624,Sheet1!$A$5:$C$192,2,TRUE)</f>
        <v>/|\</v>
      </c>
      <c r="L1624" s="6">
        <f>FLOOR(VLOOKUP($D1624,Sheet1!$D$5:$F$192,3,TRUE),1)</f>
        <v>21</v>
      </c>
      <c r="M1624" s="42" t="str">
        <f>VLOOKUP($D1624,Sheet1!$D$5:$F$192,2,TRUE)</f>
        <v>(|~</v>
      </c>
      <c r="N1624" s="23">
        <f>FLOOR(VLOOKUP($D1624,Sheet1!$G$5:$I$192,3,TRUE),1)</f>
        <v>26</v>
      </c>
      <c r="O1624" s="42" t="str">
        <f>VLOOKUP($D1624,Sheet1!$G$5:$I$192,2,TRUE)</f>
        <v>./|\</v>
      </c>
      <c r="P1624" s="23">
        <v>1</v>
      </c>
      <c r="Q1624" s="43" t="str">
        <f>VLOOKUP($D1624,Sheet1!$J$5:$L$192,2,TRUE)</f>
        <v>./|\'</v>
      </c>
      <c r="R1624" s="23">
        <f>FLOOR(VLOOKUP($D1624,Sheet1!$M$5:$O$192,3,TRUE),1)</f>
        <v>106</v>
      </c>
      <c r="S1624" s="42" t="str">
        <f>VLOOKUP($D1624,Sheet1!$M$5:$O$192,2,TRUE)</f>
        <v>./|\'</v>
      </c>
      <c r="T1624" s="117">
        <f>IF(ABS(D1624-VLOOKUP($D1624,Sheet1!$M$5:$T$192,8,TRUE))&lt;10^-10,"SoCA",D1624-VLOOKUP($D1624,Sheet1!$M$5:$T$192,8,TRUE))</f>
        <v>1.9449768330488837E-2</v>
      </c>
      <c r="U1624" s="109">
        <f>IF(VLOOKUP($D1624,Sheet1!$M$5:$U$192,9,TRUE)=0,"",IF(ABS(D1624-VLOOKUP($D1624,Sheet1!$M$5:$U$192,9,TRUE))&lt;10^-10,"Alt.",D1624-VLOOKUP($D1624,Sheet1!$M$5:$U$192,9,TRUE)))</f>
        <v>4.6410063532924539E-2</v>
      </c>
      <c r="V1624" s="132">
        <f>$D1624-Sheet1!$M$3*$R1624</f>
        <v>4.2029397450363604E-2</v>
      </c>
      <c r="Z1624" s="6"/>
      <c r="AA1624" s="61"/>
    </row>
    <row r="1625" spans="1:27" ht="13.5">
      <c r="A1625" t="s">
        <v>1338</v>
      </c>
      <c r="B1625">
        <v>247887</v>
      </c>
      <c r="C1625">
        <v>255376</v>
      </c>
      <c r="D1625" s="13">
        <f t="shared" si="33"/>
        <v>51.528401371148234</v>
      </c>
      <c r="E1625" s="61" t="s">
        <v>1931</v>
      </c>
      <c r="F1625" s="65">
        <v>12773.652696365312</v>
      </c>
      <c r="G1625" s="6">
        <v>1250</v>
      </c>
      <c r="H1625" s="6">
        <v>1187</v>
      </c>
      <c r="I1625" s="65">
        <v>-6.1727914006085349</v>
      </c>
      <c r="J1625" s="6">
        <f>VLOOKUP($D1625,Sheet1!$A$5:$C$192,3,TRUE)</f>
        <v>10</v>
      </c>
      <c r="K1625" s="42" t="str">
        <f>VLOOKUP($D1625,Sheet1!$A$5:$C$192,2,TRUE)</f>
        <v>/|\</v>
      </c>
      <c r="L1625" s="6">
        <f>FLOOR(VLOOKUP($D1625,Sheet1!$D$5:$F$192,3,TRUE),1)</f>
        <v>21</v>
      </c>
      <c r="M1625" s="42" t="str">
        <f>VLOOKUP($D1625,Sheet1!$D$5:$F$192,2,TRUE)</f>
        <v>(|~</v>
      </c>
      <c r="N1625" s="23">
        <f>FLOOR(VLOOKUP($D1625,Sheet1!$G$5:$I$192,3,TRUE),1)</f>
        <v>26</v>
      </c>
      <c r="O1625" s="42" t="str">
        <f>VLOOKUP($D1625,Sheet1!$G$5:$I$192,2,TRUE)</f>
        <v>./|\</v>
      </c>
      <c r="P1625" s="23">
        <v>1</v>
      </c>
      <c r="Q1625" s="43" t="str">
        <f>VLOOKUP($D1625,Sheet1!$J$5:$L$192,2,TRUE)</f>
        <v>./|\'</v>
      </c>
      <c r="R1625" s="23">
        <f>FLOOR(VLOOKUP($D1625,Sheet1!$M$5:$O$192,3,TRUE),1)</f>
        <v>106</v>
      </c>
      <c r="S1625" s="42" t="str">
        <f>VLOOKUP($D1625,Sheet1!$M$5:$O$192,2,TRUE)</f>
        <v>./|\'</v>
      </c>
      <c r="T1625" s="117">
        <f>IF(ABS(D1625-VLOOKUP($D1625,Sheet1!$M$5:$T$192,8,TRUE))&lt;10^-10,"SoCA",D1625-VLOOKUP($D1625,Sheet1!$M$5:$T$192,8,TRUE))</f>
        <v>-0.21353723701655269</v>
      </c>
      <c r="U1625" s="109">
        <f>IF(VLOOKUP($D1625,Sheet1!$M$5:$U$192,9,TRUE)=0,"",IF(ABS(D1625-VLOOKUP($D1625,Sheet1!$M$5:$U$192,9,TRUE))&lt;10^-10,"Alt.",D1625-VLOOKUP($D1625,Sheet1!$M$5:$U$192,9,TRUE)))</f>
        <v>-0.18657694181411699</v>
      </c>
      <c r="V1625" s="132">
        <f>$D1625-Sheet1!$M$3*$R1625</f>
        <v>-0.19095760789667793</v>
      </c>
      <c r="Z1625" s="6"/>
      <c r="AA1625" s="61"/>
    </row>
    <row r="1626" spans="1:27" ht="13.5">
      <c r="A1626" s="38" t="s">
        <v>207</v>
      </c>
      <c r="B1626" s="38">
        <f>3^3*23</f>
        <v>621</v>
      </c>
      <c r="C1626" s="38">
        <f>2^7*5</f>
        <v>640</v>
      </c>
      <c r="D1626" s="13">
        <f t="shared" si="33"/>
        <v>52.174364000256972</v>
      </c>
      <c r="E1626" s="61">
        <v>23</v>
      </c>
      <c r="F1626" s="65">
        <v>28.771856040824982</v>
      </c>
      <c r="G1626" s="6">
        <v>98</v>
      </c>
      <c r="H1626" s="6">
        <v>98</v>
      </c>
      <c r="I1626" s="65">
        <v>-6.2125656730527457</v>
      </c>
      <c r="J1626" s="6">
        <f>VLOOKUP($D1626,Sheet1!$A$5:$C$192,3,TRUE)</f>
        <v>10</v>
      </c>
      <c r="K1626" s="42" t="str">
        <f>VLOOKUP($D1626,Sheet1!$A$5:$C$192,2,TRUE)</f>
        <v>/|\</v>
      </c>
      <c r="L1626" s="6">
        <f>FLOOR(VLOOKUP($D1626,Sheet1!$D$5:$F$192,3,TRUE),1)</f>
        <v>22</v>
      </c>
      <c r="M1626" s="42" t="str">
        <f>VLOOKUP($D1626,Sheet1!$D$5:$F$192,2,TRUE)</f>
        <v>/|\</v>
      </c>
      <c r="N1626" s="23">
        <f>FLOOR(VLOOKUP($D1626,Sheet1!$G$5:$I$192,3,TRUE),1)</f>
        <v>27</v>
      </c>
      <c r="O1626" s="42" t="str">
        <f>VLOOKUP($D1626,Sheet1!$G$5:$I$192,2,TRUE)</f>
        <v>/|\</v>
      </c>
      <c r="P1626" s="23">
        <v>1</v>
      </c>
      <c r="Q1626" s="45" t="str">
        <f>VLOOKUP($D1626,Sheet1!$J$5:$L$192,2,TRUE)</f>
        <v>/|\..</v>
      </c>
      <c r="R1626" s="38">
        <f>FLOOR(VLOOKUP($D1626,Sheet1!$M$5:$O$192,3,TRUE),1)</f>
        <v>107</v>
      </c>
      <c r="S1626" s="45" t="str">
        <f>VLOOKUP($D1626,Sheet1!$M$5:$O$192,2,TRUE)</f>
        <v>/|\..</v>
      </c>
      <c r="T1626" s="128">
        <f>IF(ABS(D1626-VLOOKUP($D1626,Sheet1!$M$5:$T$192,8,TRUE))&lt;10^-10,"SoCA",D1626-VLOOKUP($D1626,Sheet1!$M$5:$T$192,8,TRUE))</f>
        <v>-0.26605502578555473</v>
      </c>
      <c r="U1626" s="128">
        <f>IF(VLOOKUP($D1626,Sheet1!$M$5:$U$192,9,TRUE)=0,"",IF(ABS(D1626-VLOOKUP($D1626,Sheet1!$M$5:$U$192,9,TRUE))&lt;10^-10,"Alt.",D1626-VLOOKUP($D1626,Sheet1!$M$5:$U$192,9,TRUE)))</f>
        <v>-0.2801071931800081</v>
      </c>
      <c r="V1626" s="133">
        <f>$D1626-Sheet1!$M$3*$R1626</f>
        <v>-3.2913459722323068E-2</v>
      </c>
      <c r="Z1626" s="6"/>
      <c r="AA1626" s="61"/>
    </row>
    <row r="1627" spans="1:27" ht="13.5">
      <c r="A1627" s="23" t="s">
        <v>388</v>
      </c>
      <c r="B1627" s="23">
        <f>2^7*5*7</f>
        <v>4480</v>
      </c>
      <c r="C1627" s="23">
        <f>3^5*19</f>
        <v>4617</v>
      </c>
      <c r="D1627" s="13">
        <f t="shared" si="33"/>
        <v>52.148400125279892</v>
      </c>
      <c r="E1627" s="61">
        <v>19</v>
      </c>
      <c r="F1627" s="65">
        <v>37.542426358618791</v>
      </c>
      <c r="G1627" s="6">
        <v>246.1</v>
      </c>
      <c r="H1627" s="6">
        <v>223.1</v>
      </c>
      <c r="I1627" s="65">
        <v>1.7890330173211395</v>
      </c>
      <c r="J1627" s="6">
        <f>VLOOKUP($D1627,Sheet1!$A$5:$C$192,3,TRUE)</f>
        <v>10</v>
      </c>
      <c r="K1627" s="42" t="str">
        <f>VLOOKUP($D1627,Sheet1!$A$5:$C$192,2,TRUE)</f>
        <v>/|\</v>
      </c>
      <c r="L1627" s="6">
        <f>FLOOR(VLOOKUP($D1627,Sheet1!$D$5:$F$192,3,TRUE),1)</f>
        <v>22</v>
      </c>
      <c r="M1627" s="42" t="str">
        <f>VLOOKUP($D1627,Sheet1!$D$5:$F$192,2,TRUE)</f>
        <v>/|\</v>
      </c>
      <c r="N1627" s="23">
        <f>FLOOR(VLOOKUP($D1627,Sheet1!$G$5:$I$192,3,TRUE),1)</f>
        <v>27</v>
      </c>
      <c r="O1627" s="42" t="str">
        <f>VLOOKUP($D1627,Sheet1!$G$5:$I$192,2,TRUE)</f>
        <v>/|\</v>
      </c>
      <c r="P1627" s="23">
        <v>1</v>
      </c>
      <c r="Q1627" s="43" t="str">
        <f>VLOOKUP($D1627,Sheet1!$J$5:$L$192,2,TRUE)</f>
        <v>/|\..</v>
      </c>
      <c r="R1627" s="23">
        <f>FLOOR(VLOOKUP($D1627,Sheet1!$M$5:$O$192,3,TRUE),1)</f>
        <v>107</v>
      </c>
      <c r="S1627" s="43" t="str">
        <f>VLOOKUP($D1627,Sheet1!$M$5:$O$192,2,TRUE)</f>
        <v>/|\..</v>
      </c>
      <c r="T1627" s="117">
        <f>IF(ABS(D1627-VLOOKUP($D1627,Sheet1!$M$5:$T$192,8,TRUE))&lt;10^-10,"SoCA",D1627-VLOOKUP($D1627,Sheet1!$M$5:$T$192,8,TRUE))</f>
        <v>-0.29201890076263481</v>
      </c>
      <c r="U1627" s="117">
        <f>IF(VLOOKUP($D1627,Sheet1!$M$5:$U$192,9,TRUE)=0,"",IF(ABS(D1627-VLOOKUP($D1627,Sheet1!$M$5:$U$192,9,TRUE))&lt;10^-10,"Alt.",D1627-VLOOKUP($D1627,Sheet1!$M$5:$U$192,9,TRUE)))</f>
        <v>-0.30607106815708818</v>
      </c>
      <c r="V1627" s="132">
        <f>$D1627-Sheet1!$M$3*$R1627</f>
        <v>-5.887733469940315E-2</v>
      </c>
      <c r="Z1627" s="6"/>
      <c r="AA1627" s="61"/>
    </row>
    <row r="1628" spans="1:27" ht="13.5">
      <c r="A1628" s="23" t="s">
        <v>1985</v>
      </c>
      <c r="B1628" s="23">
        <f>2^10*5*13</f>
        <v>66560</v>
      </c>
      <c r="C1628" s="23">
        <f>3^4*7*11^2</f>
        <v>68607</v>
      </c>
      <c r="D1628" s="13">
        <f t="shared" si="33"/>
        <v>52.44041902604279</v>
      </c>
      <c r="E1628" s="22">
        <v>13</v>
      </c>
      <c r="F1628" s="65">
        <v>56.590340359713053</v>
      </c>
      <c r="G1628" s="18">
        <v>2000000</v>
      </c>
      <c r="H1628" s="18">
        <v>2000000</v>
      </c>
      <c r="I1628" s="65">
        <v>0.77105234971838987</v>
      </c>
      <c r="J1628" s="6">
        <f>VLOOKUP($D1628,Sheet1!$A$5:$C$192,3,TRUE)</f>
        <v>10</v>
      </c>
      <c r="K1628" s="42" t="str">
        <f>VLOOKUP($D1628,Sheet1!$A$5:$C$192,2,TRUE)</f>
        <v>/|\</v>
      </c>
      <c r="L1628" s="6">
        <f>FLOOR(VLOOKUP($D1628,Sheet1!$D$5:$F$192,3,TRUE),1)</f>
        <v>22</v>
      </c>
      <c r="M1628" s="42" t="str">
        <f>VLOOKUP($D1628,Sheet1!$D$5:$F$192,2,TRUE)</f>
        <v>/|\</v>
      </c>
      <c r="N1628" s="23">
        <f>FLOOR(VLOOKUP($D1628,Sheet1!$G$5:$I$192,3,TRUE),1)</f>
        <v>27</v>
      </c>
      <c r="O1628" s="42" t="str">
        <f>VLOOKUP($D1628,Sheet1!$G$5:$I$192,2,TRUE)</f>
        <v>/|\</v>
      </c>
      <c r="P1628" s="23">
        <v>1</v>
      </c>
      <c r="Q1628" s="43" t="str">
        <f>VLOOKUP($D1628,Sheet1!$J$5:$L$192,2,TRUE)</f>
        <v>/|\..</v>
      </c>
      <c r="R1628" s="23">
        <f>FLOOR(VLOOKUP($D1628,Sheet1!$M$5:$O$192,3,TRUE),1)</f>
        <v>107</v>
      </c>
      <c r="S1628" s="43" t="str">
        <f>VLOOKUP($D1628,Sheet1!$M$5:$O$192,2,TRUE)</f>
        <v>/|\..</v>
      </c>
      <c r="T1628" s="124" t="str">
        <f>IF(ABS(D1628-VLOOKUP($D1628,Sheet1!$M$5:$T$192,8,TRUE))&lt;10^-10,"SoCA",D1628-VLOOKUP($D1628,Sheet1!$M$5:$T$192,8,TRUE))</f>
        <v>SoCA</v>
      </c>
      <c r="U1628" s="117">
        <f>IF(VLOOKUP($D1628,Sheet1!$M$5:$U$192,9,TRUE)=0,"",IF(ABS(D1628-VLOOKUP($D1628,Sheet1!$M$5:$U$192,9,TRUE))&lt;10^-10,"Alt.",D1628-VLOOKUP($D1628,Sheet1!$M$5:$U$192,9,TRUE)))</f>
        <v>-1.4052167394190462E-2</v>
      </c>
      <c r="V1628" s="132">
        <f>$D1628-Sheet1!$M$3*$R1628</f>
        <v>0.23314156606349457</v>
      </c>
      <c r="Z1628" s="6"/>
      <c r="AA1628" s="61"/>
    </row>
    <row r="1629" spans="1:27" ht="13.5">
      <c r="A1629" s="6" t="s">
        <v>723</v>
      </c>
      <c r="B1629" s="6">
        <f>2^10*11*13</f>
        <v>146432</v>
      </c>
      <c r="C1629" s="6">
        <f>3^8*23</f>
        <v>150903</v>
      </c>
      <c r="D1629" s="13">
        <f t="shared" si="33"/>
        <v>52.068750057447346</v>
      </c>
      <c r="E1629" s="61">
        <v>23</v>
      </c>
      <c r="F1629" s="65">
        <v>59.450138786041876</v>
      </c>
      <c r="G1629" s="6">
        <v>612.1</v>
      </c>
      <c r="H1629" s="6">
        <v>568.1</v>
      </c>
      <c r="I1629" s="65">
        <v>4.7939373621785855</v>
      </c>
      <c r="J1629" s="6">
        <f>VLOOKUP($D1629,Sheet1!$A$5:$C$192,3,TRUE)</f>
        <v>10</v>
      </c>
      <c r="K1629" s="42" t="str">
        <f>VLOOKUP($D1629,Sheet1!$A$5:$C$192,2,TRUE)</f>
        <v>/|\</v>
      </c>
      <c r="L1629" s="6">
        <f>FLOOR(VLOOKUP($D1629,Sheet1!$D$5:$F$192,3,TRUE),1)</f>
        <v>22</v>
      </c>
      <c r="M1629" s="42" t="str">
        <f>VLOOKUP($D1629,Sheet1!$D$5:$F$192,2,TRUE)</f>
        <v>/|\</v>
      </c>
      <c r="N1629" s="23">
        <f>FLOOR(VLOOKUP($D1629,Sheet1!$G$5:$I$192,3,TRUE),1)</f>
        <v>27</v>
      </c>
      <c r="O1629" s="42" t="str">
        <f>VLOOKUP($D1629,Sheet1!$G$5:$I$192,2,TRUE)</f>
        <v>/|\</v>
      </c>
      <c r="P1629" s="23">
        <v>1</v>
      </c>
      <c r="Q1629" s="43" t="str">
        <f>VLOOKUP($D1629,Sheet1!$J$5:$L$192,2,TRUE)</f>
        <v>/|\..</v>
      </c>
      <c r="R1629" s="23">
        <f>FLOOR(VLOOKUP($D1629,Sheet1!$M$5:$O$192,3,TRUE),1)</f>
        <v>107</v>
      </c>
      <c r="S1629" s="42" t="str">
        <f>VLOOKUP($D1629,Sheet1!$M$5:$O$192,2,TRUE)</f>
        <v>/|\..</v>
      </c>
      <c r="T1629" s="117">
        <f>IF(ABS(D1629-VLOOKUP($D1629,Sheet1!$M$5:$T$192,8,TRUE))&lt;10^-10,"SoCA",D1629-VLOOKUP($D1629,Sheet1!$M$5:$T$192,8,TRUE))</f>
        <v>-0.37166896859518062</v>
      </c>
      <c r="U1629" s="109">
        <f>IF(VLOOKUP($D1629,Sheet1!$M$5:$U$192,9,TRUE)=0,"",IF(ABS(D1629-VLOOKUP($D1629,Sheet1!$M$5:$U$192,9,TRUE))&lt;10^-10,"Alt.",D1629-VLOOKUP($D1629,Sheet1!$M$5:$U$192,9,TRUE)))</f>
        <v>-0.38572113598963398</v>
      </c>
      <c r="V1629" s="132">
        <f>$D1629-Sheet1!$M$3*$R1629</f>
        <v>-0.13852740253194895</v>
      </c>
      <c r="Z1629" s="6"/>
      <c r="AA1629" s="61"/>
    </row>
    <row r="1630" spans="1:27" ht="13.5">
      <c r="A1630" t="s">
        <v>573</v>
      </c>
      <c r="B1630">
        <v>10485760</v>
      </c>
      <c r="C1630">
        <v>10805967</v>
      </c>
      <c r="D1630" s="13">
        <f t="shared" si="33"/>
        <v>52.076100729890243</v>
      </c>
      <c r="E1630" s="61" t="s">
        <v>1931</v>
      </c>
      <c r="F1630" s="65">
        <v>92.454848234963649</v>
      </c>
      <c r="G1630" s="6">
        <v>387</v>
      </c>
      <c r="H1630" s="6">
        <v>418</v>
      </c>
      <c r="I1630" s="65">
        <v>7.7934847544963191</v>
      </c>
      <c r="J1630" s="6">
        <f>VLOOKUP($D1630,Sheet1!$A$5:$C$192,3,TRUE)</f>
        <v>10</v>
      </c>
      <c r="K1630" s="42" t="str">
        <f>VLOOKUP($D1630,Sheet1!$A$5:$C$192,2,TRUE)</f>
        <v>/|\</v>
      </c>
      <c r="L1630" s="6">
        <f>FLOOR(VLOOKUP($D1630,Sheet1!$D$5:$F$192,3,TRUE),1)</f>
        <v>22</v>
      </c>
      <c r="M1630" s="42" t="str">
        <f>VLOOKUP($D1630,Sheet1!$D$5:$F$192,2,TRUE)</f>
        <v>/|\</v>
      </c>
      <c r="N1630" s="23">
        <f>FLOOR(VLOOKUP($D1630,Sheet1!$G$5:$I$192,3,TRUE),1)</f>
        <v>27</v>
      </c>
      <c r="O1630" s="42" t="str">
        <f>VLOOKUP($D1630,Sheet1!$G$5:$I$192,2,TRUE)</f>
        <v>/|\</v>
      </c>
      <c r="P1630" s="23">
        <v>1</v>
      </c>
      <c r="Q1630" s="43" t="str">
        <f>VLOOKUP($D1630,Sheet1!$J$5:$L$192,2,TRUE)</f>
        <v>/|\..</v>
      </c>
      <c r="R1630" s="23">
        <f>FLOOR(VLOOKUP($D1630,Sheet1!$M$5:$O$192,3,TRUE),1)</f>
        <v>107</v>
      </c>
      <c r="S1630" s="42" t="str">
        <f>VLOOKUP($D1630,Sheet1!$M$5:$O$192,2,TRUE)</f>
        <v>/|\..</v>
      </c>
      <c r="T1630" s="117">
        <f>IF(ABS(D1630-VLOOKUP($D1630,Sheet1!$M$5:$T$192,8,TRUE))&lt;10^-10,"SoCA",D1630-VLOOKUP($D1630,Sheet1!$M$5:$T$192,8,TRUE))</f>
        <v>-0.36431829615228395</v>
      </c>
      <c r="U1630" s="109">
        <f>IF(VLOOKUP($D1630,Sheet1!$M$5:$U$192,9,TRUE)=0,"",IF(ABS(D1630-VLOOKUP($D1630,Sheet1!$M$5:$U$192,9,TRUE))&lt;10^-10,"Alt.",D1630-VLOOKUP($D1630,Sheet1!$M$5:$U$192,9,TRUE)))</f>
        <v>-0.37837046354673731</v>
      </c>
      <c r="V1630" s="132">
        <f>$D1630-Sheet1!$M$3*$R1630</f>
        <v>-0.13117673008905228</v>
      </c>
      <c r="Z1630" s="6"/>
      <c r="AA1630" s="61"/>
    </row>
    <row r="1631" spans="1:27" ht="13.5">
      <c r="A1631" t="s">
        <v>1537</v>
      </c>
      <c r="B1631">
        <v>260465625</v>
      </c>
      <c r="C1631">
        <v>268435456</v>
      </c>
      <c r="D1631" s="13">
        <f t="shared" si="33"/>
        <v>52.178706941514022</v>
      </c>
      <c r="E1631" s="61">
        <v>7</v>
      </c>
      <c r="F1631" s="65">
        <v>123.11465617628839</v>
      </c>
      <c r="G1631" s="6">
        <v>1442</v>
      </c>
      <c r="H1631" s="6">
        <v>1386</v>
      </c>
      <c r="I1631" s="65">
        <v>-8.2128330837681389</v>
      </c>
      <c r="J1631" s="6">
        <f>VLOOKUP($D1631,Sheet1!$A$5:$C$192,3,TRUE)</f>
        <v>10</v>
      </c>
      <c r="K1631" s="42" t="str">
        <f>VLOOKUP($D1631,Sheet1!$A$5:$C$192,2,TRUE)</f>
        <v>/|\</v>
      </c>
      <c r="L1631" s="6">
        <f>FLOOR(VLOOKUP($D1631,Sheet1!$D$5:$F$192,3,TRUE),1)</f>
        <v>22</v>
      </c>
      <c r="M1631" s="42" t="str">
        <f>VLOOKUP($D1631,Sheet1!$D$5:$F$192,2,TRUE)</f>
        <v>/|\</v>
      </c>
      <c r="N1631" s="23">
        <f>FLOOR(VLOOKUP($D1631,Sheet1!$G$5:$I$192,3,TRUE),1)</f>
        <v>27</v>
      </c>
      <c r="O1631" s="42" t="str">
        <f>VLOOKUP($D1631,Sheet1!$G$5:$I$192,2,TRUE)</f>
        <v>/|\</v>
      </c>
      <c r="P1631" s="23">
        <v>1</v>
      </c>
      <c r="Q1631" s="43" t="str">
        <f>VLOOKUP($D1631,Sheet1!$J$5:$L$192,2,TRUE)</f>
        <v>/|\..</v>
      </c>
      <c r="R1631" s="23">
        <f>FLOOR(VLOOKUP($D1631,Sheet1!$M$5:$O$192,3,TRUE),1)</f>
        <v>107</v>
      </c>
      <c r="S1631" s="42" t="str">
        <f>VLOOKUP($D1631,Sheet1!$M$5:$O$192,2,TRUE)</f>
        <v>/|\..</v>
      </c>
      <c r="T1631" s="117">
        <f>IF(ABS(D1631-VLOOKUP($D1631,Sheet1!$M$5:$T$192,8,TRUE))&lt;10^-10,"SoCA",D1631-VLOOKUP($D1631,Sheet1!$M$5:$T$192,8,TRUE))</f>
        <v>-0.26171208452850436</v>
      </c>
      <c r="U1631" s="109">
        <f>IF(VLOOKUP($D1631,Sheet1!$M$5:$U$192,9,TRUE)=0,"",IF(ABS(D1631-VLOOKUP($D1631,Sheet1!$M$5:$U$192,9,TRUE))&lt;10^-10,"Alt.",D1631-VLOOKUP($D1631,Sheet1!$M$5:$U$192,9,TRUE)))</f>
        <v>-0.27576425192295773</v>
      </c>
      <c r="V1631" s="132">
        <f>$D1631-Sheet1!$M$3*$R1631</f>
        <v>-2.8570518465272698E-2</v>
      </c>
      <c r="Z1631" s="6"/>
      <c r="AA1631" s="61"/>
    </row>
    <row r="1632" spans="1:27" ht="13.5">
      <c r="A1632" t="s">
        <v>695</v>
      </c>
      <c r="B1632">
        <v>176128</v>
      </c>
      <c r="C1632">
        <v>181521</v>
      </c>
      <c r="D1632" s="13">
        <f t="shared" si="33"/>
        <v>52.214618031504259</v>
      </c>
      <c r="E1632" s="61" t="s">
        <v>1931</v>
      </c>
      <c r="F1632" s="65">
        <v>127.90018869198059</v>
      </c>
      <c r="G1632" s="6">
        <v>582</v>
      </c>
      <c r="H1632" s="6">
        <v>540</v>
      </c>
      <c r="I1632" s="65">
        <v>3.7849557395899383</v>
      </c>
      <c r="J1632" s="6">
        <f>VLOOKUP($D1632,Sheet1!$A$5:$C$192,3,TRUE)</f>
        <v>10</v>
      </c>
      <c r="K1632" s="42" t="str">
        <f>VLOOKUP($D1632,Sheet1!$A$5:$C$192,2,TRUE)</f>
        <v>/|\</v>
      </c>
      <c r="L1632" s="6">
        <f>FLOOR(VLOOKUP($D1632,Sheet1!$D$5:$F$192,3,TRUE),1)</f>
        <v>22</v>
      </c>
      <c r="M1632" s="42" t="str">
        <f>VLOOKUP($D1632,Sheet1!$D$5:$F$192,2,TRUE)</f>
        <v>/|\</v>
      </c>
      <c r="N1632" s="23">
        <f>FLOOR(VLOOKUP($D1632,Sheet1!$G$5:$I$192,3,TRUE),1)</f>
        <v>27</v>
      </c>
      <c r="O1632" s="42" t="str">
        <f>VLOOKUP($D1632,Sheet1!$G$5:$I$192,2,TRUE)</f>
        <v>/|\</v>
      </c>
      <c r="P1632" s="23">
        <v>1</v>
      </c>
      <c r="Q1632" s="43" t="str">
        <f>VLOOKUP($D1632,Sheet1!$J$5:$L$192,2,TRUE)</f>
        <v>/|\..</v>
      </c>
      <c r="R1632" s="23">
        <f>FLOOR(VLOOKUP($D1632,Sheet1!$M$5:$O$192,3,TRUE),1)</f>
        <v>107</v>
      </c>
      <c r="S1632" s="42" t="str">
        <f>VLOOKUP($D1632,Sheet1!$M$5:$O$192,2,TRUE)</f>
        <v>/|\..</v>
      </c>
      <c r="T1632" s="117">
        <f>IF(ABS(D1632-VLOOKUP($D1632,Sheet1!$M$5:$T$192,8,TRUE))&lt;10^-10,"SoCA",D1632-VLOOKUP($D1632,Sheet1!$M$5:$T$192,8,TRUE))</f>
        <v>-0.22580099453826818</v>
      </c>
      <c r="U1632" s="109">
        <f>IF(VLOOKUP($D1632,Sheet1!$M$5:$U$192,9,TRUE)=0,"",IF(ABS(D1632-VLOOKUP($D1632,Sheet1!$M$5:$U$192,9,TRUE))&lt;10^-10,"Alt.",D1632-VLOOKUP($D1632,Sheet1!$M$5:$U$192,9,TRUE)))</f>
        <v>-0.23985316193272155</v>
      </c>
      <c r="V1632" s="132">
        <f>$D1632-Sheet1!$M$3*$R1632</f>
        <v>7.3405715249634795E-3</v>
      </c>
      <c r="Z1632" s="6"/>
      <c r="AA1632" s="61"/>
    </row>
    <row r="1633" spans="1:27" ht="13.5">
      <c r="A1633" t="s">
        <v>754</v>
      </c>
      <c r="B1633">
        <v>131</v>
      </c>
      <c r="C1633">
        <v>135</v>
      </c>
      <c r="D1633" s="13">
        <f t="shared" si="33"/>
        <v>52.071114616056818</v>
      </c>
      <c r="E1633" s="61" t="s">
        <v>1931</v>
      </c>
      <c r="F1633" s="65">
        <v>136.12457886288115</v>
      </c>
      <c r="G1633" s="6">
        <v>714</v>
      </c>
      <c r="H1633" s="6">
        <v>600</v>
      </c>
      <c r="I1633" s="65">
        <v>-0.20620823230955576</v>
      </c>
      <c r="J1633" s="6">
        <f>VLOOKUP($D1633,Sheet1!$A$5:$C$192,3,TRUE)</f>
        <v>10</v>
      </c>
      <c r="K1633" s="42" t="str">
        <f>VLOOKUP($D1633,Sheet1!$A$5:$C$192,2,TRUE)</f>
        <v>/|\</v>
      </c>
      <c r="L1633" s="6">
        <f>FLOOR(VLOOKUP($D1633,Sheet1!$D$5:$F$192,3,TRUE),1)</f>
        <v>22</v>
      </c>
      <c r="M1633" s="42" t="str">
        <f>VLOOKUP($D1633,Sheet1!$D$5:$F$192,2,TRUE)</f>
        <v>/|\</v>
      </c>
      <c r="N1633" s="23">
        <f>FLOOR(VLOOKUP($D1633,Sheet1!$G$5:$I$192,3,TRUE),1)</f>
        <v>27</v>
      </c>
      <c r="O1633" s="42" t="str">
        <f>VLOOKUP($D1633,Sheet1!$G$5:$I$192,2,TRUE)</f>
        <v>/|\</v>
      </c>
      <c r="P1633" s="23">
        <v>1</v>
      </c>
      <c r="Q1633" s="43" t="str">
        <f>VLOOKUP($D1633,Sheet1!$J$5:$L$192,2,TRUE)</f>
        <v>/|\..</v>
      </c>
      <c r="R1633" s="23">
        <f>FLOOR(VLOOKUP($D1633,Sheet1!$M$5:$O$192,3,TRUE),1)</f>
        <v>107</v>
      </c>
      <c r="S1633" s="42" t="str">
        <f>VLOOKUP($D1633,Sheet1!$M$5:$O$192,2,TRUE)</f>
        <v>/|\..</v>
      </c>
      <c r="T1633" s="117">
        <f>IF(ABS(D1633-VLOOKUP($D1633,Sheet1!$M$5:$T$192,8,TRUE))&lt;10^-10,"SoCA",D1633-VLOOKUP($D1633,Sheet1!$M$5:$T$192,8,TRUE))</f>
        <v>-0.36930440998570901</v>
      </c>
      <c r="U1633" s="109">
        <f>IF(VLOOKUP($D1633,Sheet1!$M$5:$U$192,9,TRUE)=0,"",IF(ABS(D1633-VLOOKUP($D1633,Sheet1!$M$5:$U$192,9,TRUE))&lt;10^-10,"Alt.",D1633-VLOOKUP($D1633,Sheet1!$M$5:$U$192,9,TRUE)))</f>
        <v>-0.38335657738016238</v>
      </c>
      <c r="V1633" s="132">
        <f>$D1633-Sheet1!$M$3*$R1633</f>
        <v>-0.13616284392247735</v>
      </c>
      <c r="Z1633" s="6"/>
      <c r="AA1633" s="61"/>
    </row>
    <row r="1634" spans="1:27" ht="13.5">
      <c r="A1634" t="s">
        <v>1243</v>
      </c>
      <c r="B1634">
        <v>423</v>
      </c>
      <c r="C1634">
        <v>436</v>
      </c>
      <c r="D1634" s="13">
        <f t="shared" si="33"/>
        <v>52.404565988371836</v>
      </c>
      <c r="E1634" s="61" t="s">
        <v>1931</v>
      </c>
      <c r="F1634" s="65">
        <v>156.57956338396926</v>
      </c>
      <c r="G1634" s="6">
        <v>1151</v>
      </c>
      <c r="H1634" s="6">
        <v>1092</v>
      </c>
      <c r="I1634" s="65">
        <v>-5.2267400481324824</v>
      </c>
      <c r="J1634" s="6">
        <f>VLOOKUP($D1634,Sheet1!$A$5:$C$192,3,TRUE)</f>
        <v>10</v>
      </c>
      <c r="K1634" s="42" t="str">
        <f>VLOOKUP($D1634,Sheet1!$A$5:$C$192,2,TRUE)</f>
        <v>/|\</v>
      </c>
      <c r="L1634" s="6">
        <f>FLOOR(VLOOKUP($D1634,Sheet1!$D$5:$F$192,3,TRUE),1)</f>
        <v>22</v>
      </c>
      <c r="M1634" s="42" t="str">
        <f>VLOOKUP($D1634,Sheet1!$D$5:$F$192,2,TRUE)</f>
        <v>/|\</v>
      </c>
      <c r="N1634" s="23">
        <f>FLOOR(VLOOKUP($D1634,Sheet1!$G$5:$I$192,3,TRUE),1)</f>
        <v>27</v>
      </c>
      <c r="O1634" s="42" t="str">
        <f>VLOOKUP($D1634,Sheet1!$G$5:$I$192,2,TRUE)</f>
        <v>/|\</v>
      </c>
      <c r="P1634" s="23">
        <v>1</v>
      </c>
      <c r="Q1634" s="43" t="str">
        <f>VLOOKUP($D1634,Sheet1!$J$5:$L$192,2,TRUE)</f>
        <v>/|\..</v>
      </c>
      <c r="R1634" s="23">
        <f>FLOOR(VLOOKUP($D1634,Sheet1!$M$5:$O$192,3,TRUE),1)</f>
        <v>107</v>
      </c>
      <c r="S1634" s="42" t="str">
        <f>VLOOKUP($D1634,Sheet1!$M$5:$O$192,2,TRUE)</f>
        <v>/|\..</v>
      </c>
      <c r="T1634" s="117">
        <f>IF(ABS(D1634-VLOOKUP($D1634,Sheet1!$M$5:$T$192,8,TRUE))&lt;10^-10,"SoCA",D1634-VLOOKUP($D1634,Sheet1!$M$5:$T$192,8,TRUE))</f>
        <v>-3.5853037670690924E-2</v>
      </c>
      <c r="U1634" s="109">
        <f>IF(VLOOKUP($D1634,Sheet1!$M$5:$U$192,9,TRUE)=0,"",IF(ABS(D1634-VLOOKUP($D1634,Sheet1!$M$5:$U$192,9,TRUE))&lt;10^-10,"Alt.",D1634-VLOOKUP($D1634,Sheet1!$M$5:$U$192,9,TRUE)))</f>
        <v>-4.9905205065144287E-2</v>
      </c>
      <c r="V1634" s="132">
        <f>$D1634-Sheet1!$M$3*$R1634</f>
        <v>0.19728852839254074</v>
      </c>
      <c r="Z1634" s="6"/>
      <c r="AA1634" s="61"/>
    </row>
    <row r="1635" spans="1:27" ht="13.5">
      <c r="A1635" t="s">
        <v>1241</v>
      </c>
      <c r="B1635">
        <v>1017</v>
      </c>
      <c r="C1635">
        <v>1048</v>
      </c>
      <c r="D1635" s="13">
        <f t="shared" si="33"/>
        <v>51.982845215940159</v>
      </c>
      <c r="E1635" s="61" t="s">
        <v>1931</v>
      </c>
      <c r="F1635" s="65">
        <v>244.62009037495702</v>
      </c>
      <c r="G1635" s="6">
        <v>1149</v>
      </c>
      <c r="H1635" s="6">
        <v>1090</v>
      </c>
      <c r="I1635" s="65">
        <v>-5.2007731637614398</v>
      </c>
      <c r="J1635" s="6">
        <f>VLOOKUP($D1635,Sheet1!$A$5:$C$192,3,TRUE)</f>
        <v>10</v>
      </c>
      <c r="K1635" s="42" t="str">
        <f>VLOOKUP($D1635,Sheet1!$A$5:$C$192,2,TRUE)</f>
        <v>/|\</v>
      </c>
      <c r="L1635" s="6">
        <f>FLOOR(VLOOKUP($D1635,Sheet1!$D$5:$F$192,3,TRUE),1)</f>
        <v>22</v>
      </c>
      <c r="M1635" s="42" t="str">
        <f>VLOOKUP($D1635,Sheet1!$D$5:$F$192,2,TRUE)</f>
        <v>/|\</v>
      </c>
      <c r="N1635" s="23">
        <f>FLOOR(VLOOKUP($D1635,Sheet1!$G$5:$I$192,3,TRUE),1)</f>
        <v>27</v>
      </c>
      <c r="O1635" s="42" t="str">
        <f>VLOOKUP($D1635,Sheet1!$G$5:$I$192,2,TRUE)</f>
        <v>/|\</v>
      </c>
      <c r="P1635" s="23">
        <v>1</v>
      </c>
      <c r="Q1635" s="43" t="str">
        <f>VLOOKUP($D1635,Sheet1!$J$5:$L$192,2,TRUE)</f>
        <v>/|\..</v>
      </c>
      <c r="R1635" s="23">
        <f>FLOOR(VLOOKUP($D1635,Sheet1!$M$5:$O$192,3,TRUE),1)</f>
        <v>107</v>
      </c>
      <c r="S1635" s="42" t="str">
        <f>VLOOKUP($D1635,Sheet1!$M$5:$O$192,2,TRUE)</f>
        <v>/|\..</v>
      </c>
      <c r="T1635" s="117">
        <f>IF(ABS(D1635-VLOOKUP($D1635,Sheet1!$M$5:$T$192,8,TRUE))&lt;10^-10,"SoCA",D1635-VLOOKUP($D1635,Sheet1!$M$5:$T$192,8,TRUE))</f>
        <v>-0.45757381010236742</v>
      </c>
      <c r="U1635" s="109">
        <f>IF(VLOOKUP($D1635,Sheet1!$M$5:$U$192,9,TRUE)=0,"",IF(ABS(D1635-VLOOKUP($D1635,Sheet1!$M$5:$U$192,9,TRUE))&lt;10^-10,"Alt.",D1635-VLOOKUP($D1635,Sheet1!$M$5:$U$192,9,TRUE)))</f>
        <v>-0.47162597749682078</v>
      </c>
      <c r="V1635" s="132">
        <f>$D1635-Sheet1!$M$3*$R1635</f>
        <v>-0.22443224403913575</v>
      </c>
      <c r="Z1635" s="6"/>
      <c r="AA1635" s="61"/>
    </row>
    <row r="1636" spans="1:27" ht="13.5">
      <c r="A1636" t="s">
        <v>1345</v>
      </c>
      <c r="B1636">
        <v>16875</v>
      </c>
      <c r="C1636">
        <v>17392</v>
      </c>
      <c r="D1636" s="13">
        <f t="shared" si="33"/>
        <v>52.243611977269445</v>
      </c>
      <c r="E1636" s="61" t="s">
        <v>1931</v>
      </c>
      <c r="F1636" s="65">
        <v>1772.7953516526638</v>
      </c>
      <c r="G1636" s="6">
        <v>1257</v>
      </c>
      <c r="H1636" s="6">
        <v>1194</v>
      </c>
      <c r="I1636" s="65">
        <v>-6.2168295232815201</v>
      </c>
      <c r="J1636" s="6">
        <f>VLOOKUP($D1636,Sheet1!$A$5:$C$192,3,TRUE)</f>
        <v>10</v>
      </c>
      <c r="K1636" s="42" t="str">
        <f>VLOOKUP($D1636,Sheet1!$A$5:$C$192,2,TRUE)</f>
        <v>/|\</v>
      </c>
      <c r="L1636" s="6">
        <f>FLOOR(VLOOKUP($D1636,Sheet1!$D$5:$F$192,3,TRUE),1)</f>
        <v>22</v>
      </c>
      <c r="M1636" s="42" t="str">
        <f>VLOOKUP($D1636,Sheet1!$D$5:$F$192,2,TRUE)</f>
        <v>/|\</v>
      </c>
      <c r="N1636" s="23">
        <f>FLOOR(VLOOKUP($D1636,Sheet1!$G$5:$I$192,3,TRUE),1)</f>
        <v>27</v>
      </c>
      <c r="O1636" s="42" t="str">
        <f>VLOOKUP($D1636,Sheet1!$G$5:$I$192,2,TRUE)</f>
        <v>/|\</v>
      </c>
      <c r="P1636" s="23">
        <v>1</v>
      </c>
      <c r="Q1636" s="43" t="str">
        <f>VLOOKUP($D1636,Sheet1!$J$5:$L$192,2,TRUE)</f>
        <v>/|\..</v>
      </c>
      <c r="R1636" s="23">
        <f>FLOOR(VLOOKUP($D1636,Sheet1!$M$5:$O$192,3,TRUE),1)</f>
        <v>107</v>
      </c>
      <c r="S1636" s="42" t="str">
        <f>VLOOKUP($D1636,Sheet1!$M$5:$O$192,2,TRUE)</f>
        <v>/|\..</v>
      </c>
      <c r="T1636" s="117">
        <f>IF(ABS(D1636-VLOOKUP($D1636,Sheet1!$M$5:$T$192,8,TRUE))&lt;10^-10,"SoCA",D1636-VLOOKUP($D1636,Sheet1!$M$5:$T$192,8,TRUE))</f>
        <v>-0.19680704877308131</v>
      </c>
      <c r="U1636" s="109">
        <f>IF(VLOOKUP($D1636,Sheet1!$M$5:$U$192,9,TRUE)=0,"",IF(ABS(D1636-VLOOKUP($D1636,Sheet1!$M$5:$U$192,9,TRUE))&lt;10^-10,"Alt.",D1636-VLOOKUP($D1636,Sheet1!$M$5:$U$192,9,TRUE)))</f>
        <v>-0.21085921616753467</v>
      </c>
      <c r="V1636" s="132">
        <f>$D1636-Sheet1!$M$3*$R1636</f>
        <v>3.6334517290150359E-2</v>
      </c>
      <c r="Z1636" s="6"/>
      <c r="AA1636" s="61"/>
    </row>
    <row r="1637" spans="1:27" ht="13.5">
      <c r="A1637" t="s">
        <v>1602</v>
      </c>
      <c r="B1637">
        <v>274877906944</v>
      </c>
      <c r="C1637">
        <v>283273464789</v>
      </c>
      <c r="D1637" s="13">
        <f t="shared" si="33"/>
        <v>52.085411450856782</v>
      </c>
      <c r="E1637" s="61" t="s">
        <v>1931</v>
      </c>
      <c r="F1637" s="65">
        <v>106756.54308179906</v>
      </c>
      <c r="G1637" s="6">
        <v>1508</v>
      </c>
      <c r="H1637" s="6">
        <v>1451</v>
      </c>
      <c r="I1637" s="65">
        <v>8.7929114594856053</v>
      </c>
      <c r="J1637" s="6">
        <f>VLOOKUP($D1637,Sheet1!$A$5:$C$192,3,TRUE)</f>
        <v>10</v>
      </c>
      <c r="K1637" s="42" t="str">
        <f>VLOOKUP($D1637,Sheet1!$A$5:$C$192,2,TRUE)</f>
        <v>/|\</v>
      </c>
      <c r="L1637" s="6">
        <f>FLOOR(VLOOKUP($D1637,Sheet1!$D$5:$F$192,3,TRUE),1)</f>
        <v>22</v>
      </c>
      <c r="M1637" s="42" t="str">
        <f>VLOOKUP($D1637,Sheet1!$D$5:$F$192,2,TRUE)</f>
        <v>/|\</v>
      </c>
      <c r="N1637" s="23">
        <f>FLOOR(VLOOKUP($D1637,Sheet1!$G$5:$I$192,3,TRUE),1)</f>
        <v>27</v>
      </c>
      <c r="O1637" s="42" t="str">
        <f>VLOOKUP($D1637,Sheet1!$G$5:$I$192,2,TRUE)</f>
        <v>/|\</v>
      </c>
      <c r="P1637" s="23">
        <v>1</v>
      </c>
      <c r="Q1637" s="43" t="str">
        <f>VLOOKUP($D1637,Sheet1!$J$5:$L$192,2,TRUE)</f>
        <v>/|\..</v>
      </c>
      <c r="R1637" s="23">
        <f>FLOOR(VLOOKUP($D1637,Sheet1!$M$5:$O$192,3,TRUE),1)</f>
        <v>107</v>
      </c>
      <c r="S1637" s="42" t="str">
        <f>VLOOKUP($D1637,Sheet1!$M$5:$O$192,2,TRUE)</f>
        <v>/|\..</v>
      </c>
      <c r="T1637" s="117">
        <f>IF(ABS(D1637-VLOOKUP($D1637,Sheet1!$M$5:$T$192,8,TRUE))&lt;10^-10,"SoCA",D1637-VLOOKUP($D1637,Sheet1!$M$5:$T$192,8,TRUE))</f>
        <v>-0.35500757518574488</v>
      </c>
      <c r="U1637" s="109">
        <f>IF(VLOOKUP($D1637,Sheet1!$M$5:$U$192,9,TRUE)=0,"",IF(ABS(D1637-VLOOKUP($D1637,Sheet1!$M$5:$U$192,9,TRUE))&lt;10^-10,"Alt.",D1637-VLOOKUP($D1637,Sheet1!$M$5:$U$192,9,TRUE)))</f>
        <v>-0.36905974258019825</v>
      </c>
      <c r="V1637" s="132">
        <f>$D1637-Sheet1!$M$3*$R1637</f>
        <v>-0.12186600912251322</v>
      </c>
      <c r="Z1637" s="6"/>
      <c r="AA1637" s="61"/>
    </row>
    <row r="1638" spans="1:27" ht="13.5">
      <c r="A1638" s="21" t="s">
        <v>313</v>
      </c>
      <c r="B1638" s="21">
        <f>2^9*29</f>
        <v>14848</v>
      </c>
      <c r="C1638" s="21">
        <f>3^7*7</f>
        <v>15309</v>
      </c>
      <c r="D1638" s="13">
        <f t="shared" si="33"/>
        <v>52.933718373750224</v>
      </c>
      <c r="E1638" s="61">
        <v>29</v>
      </c>
      <c r="F1638" s="65">
        <v>37.420392866316803</v>
      </c>
      <c r="G1638" s="6">
        <v>152.1</v>
      </c>
      <c r="H1638" s="6">
        <v>143.1</v>
      </c>
      <c r="I1638" s="65">
        <v>3.7406781116926733</v>
      </c>
      <c r="J1638" s="6">
        <f>VLOOKUP($D1638,Sheet1!$A$5:$C$192,3,TRUE)</f>
        <v>10</v>
      </c>
      <c r="K1638" s="42" t="str">
        <f>VLOOKUP($D1638,Sheet1!$A$5:$C$192,2,TRUE)</f>
        <v>/|\</v>
      </c>
      <c r="L1638" s="6">
        <f>FLOOR(VLOOKUP($D1638,Sheet1!$D$5:$F$192,3,TRUE),1)</f>
        <v>22</v>
      </c>
      <c r="M1638" s="42" t="str">
        <f>VLOOKUP($D1638,Sheet1!$D$5:$F$192,2,TRUE)</f>
        <v>/|\</v>
      </c>
      <c r="N1638" s="23">
        <f>FLOOR(VLOOKUP($D1638,Sheet1!$G$5:$I$192,3,TRUE),1)</f>
        <v>27</v>
      </c>
      <c r="O1638" s="42" t="str">
        <f>VLOOKUP($D1638,Sheet1!$G$5:$I$192,2,TRUE)</f>
        <v>/|\</v>
      </c>
      <c r="P1638" s="23">
        <v>1</v>
      </c>
      <c r="Q1638" s="43" t="str">
        <f>VLOOKUP($D1638,Sheet1!$J$5:$L$192,2,TRUE)</f>
        <v>/|\.</v>
      </c>
      <c r="R1638" s="23">
        <f>FLOOR(VLOOKUP($D1638,Sheet1!$M$5:$O$192,3,TRUE),1)</f>
        <v>108</v>
      </c>
      <c r="S1638" s="43" t="str">
        <f>VLOOKUP($D1638,Sheet1!$M$5:$O$192,2,TRUE)</f>
        <v>/|\.</v>
      </c>
      <c r="T1638" s="117">
        <f>IF(ABS(D1638-VLOOKUP($D1638,Sheet1!$M$5:$T$192,8,TRUE))&lt;10^-10,"SoCA",D1638-VLOOKUP($D1638,Sheet1!$M$5:$T$192,8,TRUE))</f>
        <v>8.3491309560926652E-2</v>
      </c>
      <c r="U1638" s="117">
        <f>IF(VLOOKUP($D1638,Sheet1!$M$5:$U$192,9,TRUE)=0,"",IF(ABS(D1638-VLOOKUP($D1638,Sheet1!$M$5:$U$192,9,TRUE))&lt;10^-10,"Alt.",D1638-VLOOKUP($D1638,Sheet1!$M$5:$U$192,9,TRUE)))</f>
        <v>5.653101435849095E-2</v>
      </c>
      <c r="V1638" s="132">
        <f>$D1638-Sheet1!$M$3*$R1638</f>
        <v>0.23852243283653962</v>
      </c>
      <c r="Z1638" s="6"/>
      <c r="AA1638" s="61"/>
    </row>
    <row r="1639" spans="1:27" ht="13.5">
      <c r="A1639" s="38" t="s">
        <v>348</v>
      </c>
      <c r="B1639" s="38">
        <f>2*5^2*11</f>
        <v>550</v>
      </c>
      <c r="C1639" s="38">
        <f>3^4*7</f>
        <v>567</v>
      </c>
      <c r="D1639" s="13">
        <f t="shared" si="33"/>
        <v>52.70053983624841</v>
      </c>
      <c r="E1639" s="61">
        <v>11</v>
      </c>
      <c r="F1639" s="65">
        <v>39.366168073221182</v>
      </c>
      <c r="G1639" s="6">
        <v>209</v>
      </c>
      <c r="H1639" s="6">
        <v>182</v>
      </c>
      <c r="I1639" s="65">
        <v>0.75503576376232306</v>
      </c>
      <c r="J1639" s="6">
        <f>VLOOKUP($D1639,Sheet1!$A$5:$C$192,3,TRUE)</f>
        <v>10</v>
      </c>
      <c r="K1639" s="42" t="str">
        <f>VLOOKUP($D1639,Sheet1!$A$5:$C$192,2,TRUE)</f>
        <v>/|\</v>
      </c>
      <c r="L1639" s="6">
        <f>FLOOR(VLOOKUP($D1639,Sheet1!$D$5:$F$192,3,TRUE),1)</f>
        <v>22</v>
      </c>
      <c r="M1639" s="42" t="str">
        <f>VLOOKUP($D1639,Sheet1!$D$5:$F$192,2,TRUE)</f>
        <v>/|\</v>
      </c>
      <c r="N1639" s="23">
        <f>FLOOR(VLOOKUP($D1639,Sheet1!$G$5:$I$192,3,TRUE),1)</f>
        <v>27</v>
      </c>
      <c r="O1639" s="42" t="str">
        <f>VLOOKUP($D1639,Sheet1!$G$5:$I$192,2,TRUE)</f>
        <v>/|\</v>
      </c>
      <c r="P1639" s="23">
        <v>1</v>
      </c>
      <c r="Q1639" s="45" t="str">
        <f>VLOOKUP($D1639,Sheet1!$J$5:$L$192,2,TRUE)</f>
        <v>/|\.</v>
      </c>
      <c r="R1639" s="38">
        <f>FLOOR(VLOOKUP($D1639,Sheet1!$M$5:$O$192,3,TRUE),1)</f>
        <v>108</v>
      </c>
      <c r="S1639" s="45" t="str">
        <f>VLOOKUP($D1639,Sheet1!$M$5:$O$192,2,TRUE)</f>
        <v>/|\.</v>
      </c>
      <c r="T1639" s="108">
        <f>IF(ABS(D1639-VLOOKUP($D1639,Sheet1!$M$5:$T$192,8,TRUE))&lt;10^-10,"SoCA",D1639-VLOOKUP($D1639,Sheet1!$M$5:$T$192,8,TRUE))</f>
        <v>-0.14968722794088762</v>
      </c>
      <c r="U1639" s="108">
        <f>IF(VLOOKUP($D1639,Sheet1!$M$5:$U$192,9,TRUE)=0,"",IF(ABS(D1639-VLOOKUP($D1639,Sheet1!$M$5:$U$192,9,TRUE))&lt;10^-10,"Alt.",D1639-VLOOKUP($D1639,Sheet1!$M$5:$U$192,9,TRUE)))</f>
        <v>-0.17664752314332333</v>
      </c>
      <c r="V1639" s="133">
        <f>$D1639-Sheet1!$M$3*$R1639</f>
        <v>5.3438953347253459E-3</v>
      </c>
      <c r="Z1639" s="6"/>
      <c r="AA1639" s="61"/>
    </row>
    <row r="1640" spans="1:27" ht="13.5">
      <c r="A1640" s="6" t="s">
        <v>1246</v>
      </c>
      <c r="B1640" s="6">
        <f>3^2*13^2</f>
        <v>1521</v>
      </c>
      <c r="C1640" s="6">
        <f>2^5*7^2</f>
        <v>1568</v>
      </c>
      <c r="D1640" s="13">
        <f t="shared" si="33"/>
        <v>52.686487668853857</v>
      </c>
      <c r="E1640" s="61">
        <v>13</v>
      </c>
      <c r="F1640" s="65">
        <v>40.432566250315311</v>
      </c>
      <c r="G1640" s="6">
        <v>1153</v>
      </c>
      <c r="H1640" s="6">
        <v>1095</v>
      </c>
      <c r="I1640" s="65">
        <v>-5.2440989930963617</v>
      </c>
      <c r="J1640" s="6">
        <f>VLOOKUP($D1640,Sheet1!$A$5:$C$192,3,TRUE)</f>
        <v>10</v>
      </c>
      <c r="K1640" s="42" t="str">
        <f>VLOOKUP($D1640,Sheet1!$A$5:$C$192,2,TRUE)</f>
        <v>/|\</v>
      </c>
      <c r="L1640" s="6">
        <f>FLOOR(VLOOKUP($D1640,Sheet1!$D$5:$F$192,3,TRUE),1)</f>
        <v>22</v>
      </c>
      <c r="M1640" s="42" t="str">
        <f>VLOOKUP($D1640,Sheet1!$D$5:$F$192,2,TRUE)</f>
        <v>/|\</v>
      </c>
      <c r="N1640" s="23">
        <f>FLOOR(VLOOKUP($D1640,Sheet1!$G$5:$I$192,3,TRUE),1)</f>
        <v>27</v>
      </c>
      <c r="O1640" s="42" t="str">
        <f>VLOOKUP($D1640,Sheet1!$G$5:$I$192,2,TRUE)</f>
        <v>/|\</v>
      </c>
      <c r="P1640" s="23">
        <v>1</v>
      </c>
      <c r="Q1640" s="43" t="str">
        <f>VLOOKUP($D1640,Sheet1!$J$5:$L$192,2,TRUE)</f>
        <v>/|\.</v>
      </c>
      <c r="R1640" s="23">
        <f>FLOOR(VLOOKUP($D1640,Sheet1!$M$5:$O$192,3,TRUE),1)</f>
        <v>108</v>
      </c>
      <c r="S1640" s="42" t="str">
        <f>VLOOKUP($D1640,Sheet1!$M$5:$O$192,2,TRUE)</f>
        <v>/|\.</v>
      </c>
      <c r="T1640" s="117">
        <f>IF(ABS(D1640-VLOOKUP($D1640,Sheet1!$M$5:$T$192,8,TRUE))&lt;10^-10,"SoCA",D1640-VLOOKUP($D1640,Sheet1!$M$5:$T$192,8,TRUE))</f>
        <v>-0.16373939533544046</v>
      </c>
      <c r="U1640" s="109">
        <f>IF(VLOOKUP($D1640,Sheet1!$M$5:$U$192,9,TRUE)=0,"",IF(ABS(D1640-VLOOKUP($D1640,Sheet1!$M$5:$U$192,9,TRUE))&lt;10^-10,"Alt.",D1640-VLOOKUP($D1640,Sheet1!$M$5:$U$192,9,TRUE)))</f>
        <v>-0.19069969053787617</v>
      </c>
      <c r="V1640" s="132">
        <f>$D1640-Sheet1!$M$3*$R1640</f>
        <v>-8.7082720598274932E-3</v>
      </c>
      <c r="Z1640" s="6"/>
      <c r="AA1640" s="61"/>
    </row>
    <row r="1641" spans="1:27" ht="13.5">
      <c r="A1641" s="23" t="s">
        <v>653</v>
      </c>
      <c r="B1641" s="23">
        <f>2^4*13*17</f>
        <v>3536</v>
      </c>
      <c r="C1641" s="23">
        <f>3^6*5</f>
        <v>3645</v>
      </c>
      <c r="D1641" s="13">
        <f t="shared" si="33"/>
        <v>52.560647787441262</v>
      </c>
      <c r="E1641" s="61">
        <v>17</v>
      </c>
      <c r="F1641" s="65">
        <v>42.70605971512412</v>
      </c>
      <c r="G1641" s="6">
        <v>548.1</v>
      </c>
      <c r="H1641" s="6">
        <v>498.1</v>
      </c>
      <c r="I1641" s="65">
        <v>2.763649426861861</v>
      </c>
      <c r="J1641" s="6">
        <f>VLOOKUP($D1641,Sheet1!$A$5:$C$192,3,TRUE)</f>
        <v>10</v>
      </c>
      <c r="K1641" s="42" t="str">
        <f>VLOOKUP($D1641,Sheet1!$A$5:$C$192,2,TRUE)</f>
        <v>/|\</v>
      </c>
      <c r="L1641" s="6">
        <f>FLOOR(VLOOKUP($D1641,Sheet1!$D$5:$F$192,3,TRUE),1)</f>
        <v>22</v>
      </c>
      <c r="M1641" s="42" t="str">
        <f>VLOOKUP($D1641,Sheet1!$D$5:$F$192,2,TRUE)</f>
        <v>/|\</v>
      </c>
      <c r="N1641" s="23">
        <f>FLOOR(VLOOKUP($D1641,Sheet1!$G$5:$I$192,3,TRUE),1)</f>
        <v>27</v>
      </c>
      <c r="O1641" s="42" t="str">
        <f>VLOOKUP($D1641,Sheet1!$G$5:$I$192,2,TRUE)</f>
        <v>/|\</v>
      </c>
      <c r="P1641" s="23">
        <v>1</v>
      </c>
      <c r="Q1641" s="43" t="str">
        <f>VLOOKUP($D1641,Sheet1!$J$5:$L$192,2,TRUE)</f>
        <v>/|\.</v>
      </c>
      <c r="R1641" s="23">
        <f>FLOOR(VLOOKUP($D1641,Sheet1!$M$5:$O$192,3,TRUE),1)</f>
        <v>108</v>
      </c>
      <c r="S1641" s="43" t="str">
        <f>VLOOKUP($D1641,Sheet1!$M$5:$O$192,2,TRUE)</f>
        <v>/|\.</v>
      </c>
      <c r="T1641" s="117">
        <f>IF(ABS(D1641-VLOOKUP($D1641,Sheet1!$M$5:$T$192,8,TRUE))&lt;10^-10,"SoCA",D1641-VLOOKUP($D1641,Sheet1!$M$5:$T$192,8,TRUE))</f>
        <v>-0.28957927674803585</v>
      </c>
      <c r="U1641" s="117">
        <f>IF(VLOOKUP($D1641,Sheet1!$M$5:$U$192,9,TRUE)=0,"",IF(ABS(D1641-VLOOKUP($D1641,Sheet1!$M$5:$U$192,9,TRUE))&lt;10^-10,"Alt.",D1641-VLOOKUP($D1641,Sheet1!$M$5:$U$192,9,TRUE)))</f>
        <v>-0.31653957195047155</v>
      </c>
      <c r="V1641" s="132">
        <f>$D1641-Sheet1!$M$3*$R1641</f>
        <v>-0.13454815347242288</v>
      </c>
      <c r="Z1641" s="6"/>
      <c r="AA1641" s="61"/>
    </row>
    <row r="1642" spans="1:27" ht="13.5">
      <c r="A1642" s="6" t="s">
        <v>757</v>
      </c>
      <c r="B1642" s="6">
        <f>2^11*5</f>
        <v>10240</v>
      </c>
      <c r="C1642" s="6">
        <f>3^3*17*23</f>
        <v>10557</v>
      </c>
      <c r="D1642" s="13">
        <f t="shared" si="33"/>
        <v>52.781045500150249</v>
      </c>
      <c r="E1642" s="61">
        <v>23</v>
      </c>
      <c r="F1642" s="65">
        <v>54.097723134565683</v>
      </c>
      <c r="G1642" s="6">
        <v>717.1</v>
      </c>
      <c r="H1642" s="6">
        <v>603.1</v>
      </c>
      <c r="I1642" s="65">
        <v>-0.2499212632622152</v>
      </c>
      <c r="J1642" s="6">
        <f>VLOOKUP($D1642,Sheet1!$A$5:$C$192,3,TRUE)</f>
        <v>10</v>
      </c>
      <c r="K1642" s="42" t="str">
        <f>VLOOKUP($D1642,Sheet1!$A$5:$C$192,2,TRUE)</f>
        <v>/|\</v>
      </c>
      <c r="L1642" s="6">
        <f>FLOOR(VLOOKUP($D1642,Sheet1!$D$5:$F$192,3,TRUE),1)</f>
        <v>22</v>
      </c>
      <c r="M1642" s="42" t="str">
        <f>VLOOKUP($D1642,Sheet1!$D$5:$F$192,2,TRUE)</f>
        <v>/|\</v>
      </c>
      <c r="N1642" s="23">
        <f>FLOOR(VLOOKUP($D1642,Sheet1!$G$5:$I$192,3,TRUE),1)</f>
        <v>27</v>
      </c>
      <c r="O1642" s="42" t="str">
        <f>VLOOKUP($D1642,Sheet1!$G$5:$I$192,2,TRUE)</f>
        <v>/|\</v>
      </c>
      <c r="P1642" s="23">
        <v>1</v>
      </c>
      <c r="Q1642" s="43" t="str">
        <f>VLOOKUP($D1642,Sheet1!$J$5:$L$192,2,TRUE)</f>
        <v>/|\.</v>
      </c>
      <c r="R1642" s="23">
        <f>FLOOR(VLOOKUP($D1642,Sheet1!$M$5:$O$192,3,TRUE),1)</f>
        <v>108</v>
      </c>
      <c r="S1642" s="42" t="str">
        <f>VLOOKUP($D1642,Sheet1!$M$5:$O$192,2,TRUE)</f>
        <v>/|\.</v>
      </c>
      <c r="T1642" s="117">
        <f>IF(ABS(D1642-VLOOKUP($D1642,Sheet1!$M$5:$T$192,8,TRUE))&lt;10^-10,"SoCA",D1642-VLOOKUP($D1642,Sheet1!$M$5:$T$192,8,TRUE))</f>
        <v>-6.9181564039048737E-2</v>
      </c>
      <c r="U1642" s="109">
        <f>IF(VLOOKUP($D1642,Sheet1!$M$5:$U$192,9,TRUE)=0,"",IF(ABS(D1642-VLOOKUP($D1642,Sheet1!$M$5:$U$192,9,TRUE))&lt;10^-10,"Alt.",D1642-VLOOKUP($D1642,Sheet1!$M$5:$U$192,9,TRUE)))</f>
        <v>-9.614185924148444E-2</v>
      </c>
      <c r="V1642" s="132">
        <f>$D1642-Sheet1!$M$3*$R1642</f>
        <v>8.5849559236564232E-2</v>
      </c>
      <c r="Z1642" s="6"/>
      <c r="AA1642" s="61"/>
    </row>
    <row r="1643" spans="1:27" ht="13.5">
      <c r="A1643" s="23" t="s">
        <v>337</v>
      </c>
      <c r="B1643" s="23">
        <f>2^8*3^2</f>
        <v>2304</v>
      </c>
      <c r="C1643" s="23">
        <f>5^3*19</f>
        <v>2375</v>
      </c>
      <c r="D1643" s="13">
        <f t="shared" si="33"/>
        <v>52.54415599603238</v>
      </c>
      <c r="E1643" s="61">
        <v>19</v>
      </c>
      <c r="F1643" s="65">
        <v>61.612454254848288</v>
      </c>
      <c r="G1643" s="6">
        <v>177</v>
      </c>
      <c r="H1643" s="6">
        <v>171</v>
      </c>
      <c r="I1643" s="65">
        <v>-5.2353351134582269</v>
      </c>
      <c r="J1643" s="6">
        <f>VLOOKUP($D1643,Sheet1!$A$5:$C$192,3,TRUE)</f>
        <v>10</v>
      </c>
      <c r="K1643" s="42" t="str">
        <f>VLOOKUP($D1643,Sheet1!$A$5:$C$192,2,TRUE)</f>
        <v>/|\</v>
      </c>
      <c r="L1643" s="6">
        <f>FLOOR(VLOOKUP($D1643,Sheet1!$D$5:$F$192,3,TRUE),1)</f>
        <v>22</v>
      </c>
      <c r="M1643" s="42" t="str">
        <f>VLOOKUP($D1643,Sheet1!$D$5:$F$192,2,TRUE)</f>
        <v>/|\</v>
      </c>
      <c r="N1643" s="23">
        <f>FLOOR(VLOOKUP($D1643,Sheet1!$G$5:$I$192,3,TRUE),1)</f>
        <v>27</v>
      </c>
      <c r="O1643" s="42" t="str">
        <f>VLOOKUP($D1643,Sheet1!$G$5:$I$192,2,TRUE)</f>
        <v>/|\</v>
      </c>
      <c r="P1643" s="23">
        <v>1</v>
      </c>
      <c r="Q1643" s="43" t="str">
        <f>VLOOKUP($D1643,Sheet1!$J$5:$L$192,2,TRUE)</f>
        <v>/|\.</v>
      </c>
      <c r="R1643" s="23">
        <f>FLOOR(VLOOKUP($D1643,Sheet1!$M$5:$O$192,3,TRUE),1)</f>
        <v>108</v>
      </c>
      <c r="S1643" s="43" t="str">
        <f>VLOOKUP($D1643,Sheet1!$M$5:$O$192,2,TRUE)</f>
        <v>/|\.</v>
      </c>
      <c r="T1643" s="117">
        <f>IF(ABS(D1643-VLOOKUP($D1643,Sheet1!$M$5:$T$192,8,TRUE))&lt;10^-10,"SoCA",D1643-VLOOKUP($D1643,Sheet1!$M$5:$T$192,8,TRUE))</f>
        <v>-0.30607106815691765</v>
      </c>
      <c r="U1643" s="109">
        <f>IF(VLOOKUP($D1643,Sheet1!$M$5:$U$192,9,TRUE)=0,"",IF(ABS(D1643-VLOOKUP($D1643,Sheet1!$M$5:$U$192,9,TRUE))&lt;10^-10,"Alt.",D1643-VLOOKUP($D1643,Sheet1!$M$5:$U$192,9,TRUE)))</f>
        <v>-0.33303136335935335</v>
      </c>
      <c r="V1643" s="132">
        <f>$D1643-Sheet1!$M$3*$R1643</f>
        <v>-0.15103994488130468</v>
      </c>
      <c r="Z1643" s="6"/>
      <c r="AA1643" s="61"/>
    </row>
    <row r="1644" spans="1:27" ht="13.5">
      <c r="A1644" s="23" t="s">
        <v>360</v>
      </c>
      <c r="B1644" s="23">
        <f>2^17</f>
        <v>131072</v>
      </c>
      <c r="C1644" s="23">
        <f>3^3*5*7*11*13</f>
        <v>135135</v>
      </c>
      <c r="D1644" s="13">
        <f t="shared" si="33"/>
        <v>52.850227064189298</v>
      </c>
      <c r="E1644" s="61">
        <v>13</v>
      </c>
      <c r="F1644" s="65">
        <v>64.892363302511072</v>
      </c>
      <c r="G1644" s="6">
        <v>232</v>
      </c>
      <c r="H1644" s="6">
        <v>195</v>
      </c>
      <c r="I1644" s="65">
        <v>-0.2541810242022593</v>
      </c>
      <c r="J1644" s="6">
        <f>VLOOKUP($D1644,Sheet1!$A$5:$C$192,3,TRUE)</f>
        <v>10</v>
      </c>
      <c r="K1644" s="42" t="str">
        <f>VLOOKUP($D1644,Sheet1!$A$5:$C$192,2,TRUE)</f>
        <v>/|\</v>
      </c>
      <c r="L1644" s="6">
        <f>FLOOR(VLOOKUP($D1644,Sheet1!$D$5:$F$192,3,TRUE),1)</f>
        <v>22</v>
      </c>
      <c r="M1644" s="42" t="str">
        <f>VLOOKUP($D1644,Sheet1!$D$5:$F$192,2,TRUE)</f>
        <v>/|\</v>
      </c>
      <c r="N1644" s="23">
        <f>FLOOR(VLOOKUP($D1644,Sheet1!$G$5:$I$192,3,TRUE),1)</f>
        <v>27</v>
      </c>
      <c r="O1644" s="42" t="str">
        <f>VLOOKUP($D1644,Sheet1!$G$5:$I$192,2,TRUE)</f>
        <v>/|\</v>
      </c>
      <c r="P1644" s="23">
        <v>1</v>
      </c>
      <c r="Q1644" s="43" t="str">
        <f>VLOOKUP($D1644,Sheet1!$J$5:$L$192,2,TRUE)</f>
        <v>/|\.</v>
      </c>
      <c r="R1644" s="23">
        <f>FLOOR(VLOOKUP($D1644,Sheet1!$M$5:$O$192,3,TRUE),1)</f>
        <v>108</v>
      </c>
      <c r="S1644" s="43" t="str">
        <f>VLOOKUP($D1644,Sheet1!$M$5:$O$192,2,TRUE)</f>
        <v>/|\.</v>
      </c>
      <c r="T1644" s="124" t="str">
        <f>IF(ABS(D1644-VLOOKUP($D1644,Sheet1!$M$5:$T$192,8,TRUE))&lt;10^-10,"SoCA",D1644-VLOOKUP($D1644,Sheet1!$M$5:$T$192,8,TRUE))</f>
        <v>SoCA</v>
      </c>
      <c r="U1644" s="117">
        <f>IF(VLOOKUP($D1644,Sheet1!$M$5:$U$192,9,TRUE)=0,"",IF(ABS(D1644-VLOOKUP($D1644,Sheet1!$M$5:$U$192,9,TRUE))&lt;10^-10,"Alt.",D1644-VLOOKUP($D1644,Sheet1!$M$5:$U$192,9,TRUE)))</f>
        <v>-2.6960295202435702E-2</v>
      </c>
      <c r="V1644" s="132">
        <f>$D1644-Sheet1!$M$3*$R1644</f>
        <v>0.15503112327561297</v>
      </c>
      <c r="Z1644" s="6"/>
      <c r="AA1644" s="61"/>
    </row>
    <row r="1645" spans="1:27" ht="13.5">
      <c r="A1645" t="s">
        <v>1046</v>
      </c>
      <c r="B1645">
        <v>15895</v>
      </c>
      <c r="C1645">
        <v>16384</v>
      </c>
      <c r="D1645" s="13">
        <f t="shared" si="33"/>
        <v>52.457524769593746</v>
      </c>
      <c r="E1645" s="61">
        <v>17</v>
      </c>
      <c r="F1645" s="65">
        <v>90.113315300743537</v>
      </c>
      <c r="G1645" s="6">
        <v>964</v>
      </c>
      <c r="H1645" s="6">
        <v>894</v>
      </c>
      <c r="I1645" s="65">
        <v>-3.2300009132316587</v>
      </c>
      <c r="J1645" s="6">
        <f>VLOOKUP($D1645,Sheet1!$A$5:$C$192,3,TRUE)</f>
        <v>10</v>
      </c>
      <c r="K1645" s="42" t="str">
        <f>VLOOKUP($D1645,Sheet1!$A$5:$C$192,2,TRUE)</f>
        <v>/|\</v>
      </c>
      <c r="L1645" s="6">
        <f>FLOOR(VLOOKUP($D1645,Sheet1!$D$5:$F$192,3,TRUE),1)</f>
        <v>22</v>
      </c>
      <c r="M1645" s="42" t="str">
        <f>VLOOKUP($D1645,Sheet1!$D$5:$F$192,2,TRUE)</f>
        <v>/|\</v>
      </c>
      <c r="N1645" s="23">
        <f>FLOOR(VLOOKUP($D1645,Sheet1!$G$5:$I$192,3,TRUE),1)</f>
        <v>27</v>
      </c>
      <c r="O1645" s="42" t="str">
        <f>VLOOKUP($D1645,Sheet1!$G$5:$I$192,2,TRUE)</f>
        <v>/|\</v>
      </c>
      <c r="P1645" s="23">
        <v>1</v>
      </c>
      <c r="Q1645" s="43" t="str">
        <f>VLOOKUP($D1645,Sheet1!$J$5:$L$192,2,TRUE)</f>
        <v>/|\.</v>
      </c>
      <c r="R1645" s="23">
        <f>FLOOR(VLOOKUP($D1645,Sheet1!$M$5:$O$192,3,TRUE),1)</f>
        <v>108</v>
      </c>
      <c r="S1645" s="42" t="str">
        <f>VLOOKUP($D1645,Sheet1!$M$5:$O$192,2,TRUE)</f>
        <v>/|\.</v>
      </c>
      <c r="T1645" s="117">
        <f>IF(ABS(D1645-VLOOKUP($D1645,Sheet1!$M$5:$T$192,8,TRUE))&lt;10^-10,"SoCA",D1645-VLOOKUP($D1645,Sheet1!$M$5:$T$192,8,TRUE))</f>
        <v>-0.39270229459555139</v>
      </c>
      <c r="U1645" s="109">
        <f>IF(VLOOKUP($D1645,Sheet1!$M$5:$U$192,9,TRUE)=0,"",IF(ABS(D1645-VLOOKUP($D1645,Sheet1!$M$5:$U$192,9,TRUE))&lt;10^-10,"Alt.",D1645-VLOOKUP($D1645,Sheet1!$M$5:$U$192,9,TRUE)))</f>
        <v>-0.4196625897979871</v>
      </c>
      <c r="V1645" s="132">
        <f>$D1645-Sheet1!$M$3*$R1645</f>
        <v>-0.23767117131993842</v>
      </c>
      <c r="Z1645" s="6"/>
      <c r="AA1645" s="61"/>
    </row>
    <row r="1646" spans="1:27" ht="13.5">
      <c r="A1646" s="6" t="s">
        <v>1655</v>
      </c>
      <c r="B1646" s="6">
        <f>3^6*5^7</f>
        <v>56953125</v>
      </c>
      <c r="C1646" s="6">
        <f>2^23*7</f>
        <v>58720256</v>
      </c>
      <c r="D1646" s="13">
        <f t="shared" si="33"/>
        <v>52.899904222956593</v>
      </c>
      <c r="E1646" s="61">
        <v>7</v>
      </c>
      <c r="F1646" s="65">
        <v>99.465197168329141</v>
      </c>
      <c r="G1646" s="6">
        <v>1561</v>
      </c>
      <c r="H1646" s="6">
        <v>1504</v>
      </c>
      <c r="I1646" s="65">
        <v>-9.2572398278513042</v>
      </c>
      <c r="J1646" s="6">
        <f>VLOOKUP($D1646,Sheet1!$A$5:$C$192,3,TRUE)</f>
        <v>10</v>
      </c>
      <c r="K1646" s="42" t="str">
        <f>VLOOKUP($D1646,Sheet1!$A$5:$C$192,2,TRUE)</f>
        <v>/|\</v>
      </c>
      <c r="L1646" s="6">
        <f>FLOOR(VLOOKUP($D1646,Sheet1!$D$5:$F$192,3,TRUE),1)</f>
        <v>22</v>
      </c>
      <c r="M1646" s="42" t="str">
        <f>VLOOKUP($D1646,Sheet1!$D$5:$F$192,2,TRUE)</f>
        <v>/|\</v>
      </c>
      <c r="N1646" s="23">
        <f>FLOOR(VLOOKUP($D1646,Sheet1!$G$5:$I$192,3,TRUE),1)</f>
        <v>27</v>
      </c>
      <c r="O1646" s="42" t="str">
        <f>VLOOKUP($D1646,Sheet1!$G$5:$I$192,2,TRUE)</f>
        <v>/|\</v>
      </c>
      <c r="P1646" s="23">
        <v>1</v>
      </c>
      <c r="Q1646" s="43" t="str">
        <f>VLOOKUP($D1646,Sheet1!$J$5:$L$192,2,TRUE)</f>
        <v>/|\.</v>
      </c>
      <c r="R1646" s="23">
        <f>FLOOR(VLOOKUP($D1646,Sheet1!$M$5:$O$192,3,TRUE),1)</f>
        <v>108</v>
      </c>
      <c r="S1646" s="42" t="str">
        <f>VLOOKUP($D1646,Sheet1!$M$5:$O$192,2,TRUE)</f>
        <v>/|\.</v>
      </c>
      <c r="T1646" s="117">
        <f>IF(ABS(D1646-VLOOKUP($D1646,Sheet1!$M$5:$T$192,8,TRUE))&lt;10^-10,"SoCA",D1646-VLOOKUP($D1646,Sheet1!$M$5:$T$192,8,TRUE))</f>
        <v>4.9677158767295282E-2</v>
      </c>
      <c r="U1646" s="109">
        <f>IF(VLOOKUP($D1646,Sheet1!$M$5:$U$192,9,TRUE)=0,"",IF(ABS(D1646-VLOOKUP($D1646,Sheet1!$M$5:$U$192,9,TRUE))&lt;10^-10,"Alt.",D1646-VLOOKUP($D1646,Sheet1!$M$5:$U$192,9,TRUE)))</f>
        <v>2.271686356485958E-2</v>
      </c>
      <c r="V1646" s="132">
        <f>$D1646-Sheet1!$M$3*$R1646</f>
        <v>0.20470828204290825</v>
      </c>
      <c r="Z1646" s="6"/>
      <c r="AA1646" s="61"/>
    </row>
    <row r="1647" spans="1:27" ht="13.5">
      <c r="A1647" t="s">
        <v>1298</v>
      </c>
      <c r="B1647">
        <v>2195456</v>
      </c>
      <c r="C1647">
        <v>2263545</v>
      </c>
      <c r="D1647" s="13">
        <f t="shared" si="33"/>
        <v>52.876040372410131</v>
      </c>
      <c r="E1647" s="61" t="s">
        <v>1931</v>
      </c>
      <c r="F1647" s="65">
        <v>121.14693861693178</v>
      </c>
      <c r="G1647" s="6">
        <v>1207</v>
      </c>
      <c r="H1647" s="6">
        <v>1147</v>
      </c>
      <c r="I1647" s="65">
        <v>5.744229556367582</v>
      </c>
      <c r="J1647" s="6">
        <f>VLOOKUP($D1647,Sheet1!$A$5:$C$192,3,TRUE)</f>
        <v>10</v>
      </c>
      <c r="K1647" s="42" t="str">
        <f>VLOOKUP($D1647,Sheet1!$A$5:$C$192,2,TRUE)</f>
        <v>/|\</v>
      </c>
      <c r="L1647" s="6">
        <f>FLOOR(VLOOKUP($D1647,Sheet1!$D$5:$F$192,3,TRUE),1)</f>
        <v>22</v>
      </c>
      <c r="M1647" s="42" t="str">
        <f>VLOOKUP($D1647,Sheet1!$D$5:$F$192,2,TRUE)</f>
        <v>/|\</v>
      </c>
      <c r="N1647" s="23">
        <f>FLOOR(VLOOKUP($D1647,Sheet1!$G$5:$I$192,3,TRUE),1)</f>
        <v>27</v>
      </c>
      <c r="O1647" s="42" t="str">
        <f>VLOOKUP($D1647,Sheet1!$G$5:$I$192,2,TRUE)</f>
        <v>/|\</v>
      </c>
      <c r="P1647" s="23">
        <v>1</v>
      </c>
      <c r="Q1647" s="43" t="str">
        <f>VLOOKUP($D1647,Sheet1!$J$5:$L$192,2,TRUE)</f>
        <v>/|\.</v>
      </c>
      <c r="R1647" s="23">
        <f>FLOOR(VLOOKUP($D1647,Sheet1!$M$5:$O$192,3,TRUE),1)</f>
        <v>108</v>
      </c>
      <c r="S1647" s="42" t="str">
        <f>VLOOKUP($D1647,Sheet1!$M$5:$O$192,2,TRUE)</f>
        <v>/|\.</v>
      </c>
      <c r="T1647" s="117">
        <f>IF(ABS(D1647-VLOOKUP($D1647,Sheet1!$M$5:$T$192,8,TRUE))&lt;10^-10,"SoCA",D1647-VLOOKUP($D1647,Sheet1!$M$5:$T$192,8,TRUE))</f>
        <v>2.5813308220833164E-2</v>
      </c>
      <c r="U1647" s="109">
        <f>IF(VLOOKUP($D1647,Sheet1!$M$5:$U$192,9,TRUE)=0,"",IF(ABS(D1647-VLOOKUP($D1647,Sheet1!$M$5:$U$192,9,TRUE))&lt;10^-10,"Alt.",D1647-VLOOKUP($D1647,Sheet1!$M$5:$U$192,9,TRUE)))</f>
        <v>-1.146986981602538E-3</v>
      </c>
      <c r="V1647" s="132">
        <f>$D1647-Sheet1!$M$3*$R1647</f>
        <v>0.18084443149644613</v>
      </c>
      <c r="Z1647" s="6"/>
      <c r="AA1647" s="61"/>
    </row>
    <row r="1648" spans="1:27" ht="13.5">
      <c r="A1648" t="s">
        <v>672</v>
      </c>
      <c r="B1648">
        <v>97</v>
      </c>
      <c r="C1648">
        <v>100</v>
      </c>
      <c r="D1648" s="13">
        <f t="shared" si="33"/>
        <v>52.732017105116235</v>
      </c>
      <c r="E1648" s="61" t="s">
        <v>1931</v>
      </c>
      <c r="F1648" s="65">
        <v>128.53597303317463</v>
      </c>
      <c r="G1648" s="6">
        <v>561</v>
      </c>
      <c r="H1648" s="6">
        <v>517</v>
      </c>
      <c r="I1648" s="65">
        <v>-3.2469024063598027</v>
      </c>
      <c r="J1648" s="6">
        <f>VLOOKUP($D1648,Sheet1!$A$5:$C$192,3,TRUE)</f>
        <v>10</v>
      </c>
      <c r="K1648" s="42" t="str">
        <f>VLOOKUP($D1648,Sheet1!$A$5:$C$192,2,TRUE)</f>
        <v>/|\</v>
      </c>
      <c r="L1648" s="6">
        <f>FLOOR(VLOOKUP($D1648,Sheet1!$D$5:$F$192,3,TRUE),1)</f>
        <v>22</v>
      </c>
      <c r="M1648" s="42" t="str">
        <f>VLOOKUP($D1648,Sheet1!$D$5:$F$192,2,TRUE)</f>
        <v>/|\</v>
      </c>
      <c r="N1648" s="23">
        <f>FLOOR(VLOOKUP($D1648,Sheet1!$G$5:$I$192,3,TRUE),1)</f>
        <v>27</v>
      </c>
      <c r="O1648" s="42" t="str">
        <f>VLOOKUP($D1648,Sheet1!$G$5:$I$192,2,TRUE)</f>
        <v>/|\</v>
      </c>
      <c r="P1648" s="23">
        <v>1</v>
      </c>
      <c r="Q1648" s="43" t="str">
        <f>VLOOKUP($D1648,Sheet1!$J$5:$L$192,2,TRUE)</f>
        <v>/|\.</v>
      </c>
      <c r="R1648" s="23">
        <f>FLOOR(VLOOKUP($D1648,Sheet1!$M$5:$O$192,3,TRUE),1)</f>
        <v>108</v>
      </c>
      <c r="S1648" s="42" t="str">
        <f>VLOOKUP($D1648,Sheet1!$M$5:$O$192,2,TRUE)</f>
        <v>/|\.</v>
      </c>
      <c r="T1648" s="117">
        <f>IF(ABS(D1648-VLOOKUP($D1648,Sheet1!$M$5:$T$192,8,TRUE))&lt;10^-10,"SoCA",D1648-VLOOKUP($D1648,Sheet1!$M$5:$T$192,8,TRUE))</f>
        <v>-0.11820995907306298</v>
      </c>
      <c r="U1648" s="109">
        <f>IF(VLOOKUP($D1648,Sheet1!$M$5:$U$192,9,TRUE)=0,"",IF(ABS(D1648-VLOOKUP($D1648,Sheet1!$M$5:$U$192,9,TRUE))&lt;10^-10,"Alt.",D1648-VLOOKUP($D1648,Sheet1!$M$5:$U$192,9,TRUE)))</f>
        <v>-0.14517025427549868</v>
      </c>
      <c r="V1648" s="132">
        <f>$D1648-Sheet1!$M$3*$R1648</f>
        <v>3.6821164202549994E-2</v>
      </c>
      <c r="Z1648" s="6"/>
      <c r="AA1648" s="61"/>
    </row>
    <row r="1649" spans="1:27" ht="13.5">
      <c r="A1649" s="6" t="s">
        <v>368</v>
      </c>
      <c r="B1649" s="6">
        <f>2^24</f>
        <v>16777216</v>
      </c>
      <c r="C1649" s="6">
        <f>3*7^8</f>
        <v>17294403</v>
      </c>
      <c r="D1649" s="13">
        <f t="shared" si="33"/>
        <v>52.56225261838685</v>
      </c>
      <c r="E1649" s="61">
        <v>7</v>
      </c>
      <c r="F1649" s="65">
        <v>145.67528242825188</v>
      </c>
      <c r="G1649" s="6">
        <v>222</v>
      </c>
      <c r="H1649" s="6">
        <v>203</v>
      </c>
      <c r="I1649" s="65">
        <v>-2.2364493884261765</v>
      </c>
      <c r="J1649" s="6">
        <f>VLOOKUP($D1649,Sheet1!$A$5:$C$192,3,TRUE)</f>
        <v>10</v>
      </c>
      <c r="K1649" s="42" t="str">
        <f>VLOOKUP($D1649,Sheet1!$A$5:$C$192,2,TRUE)</f>
        <v>/|\</v>
      </c>
      <c r="L1649" s="6">
        <f>FLOOR(VLOOKUP($D1649,Sheet1!$D$5:$F$192,3,TRUE),1)</f>
        <v>22</v>
      </c>
      <c r="M1649" s="42" t="str">
        <f>VLOOKUP($D1649,Sheet1!$D$5:$F$192,2,TRUE)</f>
        <v>/|\</v>
      </c>
      <c r="N1649" s="23">
        <f>FLOOR(VLOOKUP($D1649,Sheet1!$G$5:$I$192,3,TRUE),1)</f>
        <v>27</v>
      </c>
      <c r="O1649" s="42" t="str">
        <f>VLOOKUP($D1649,Sheet1!$G$5:$I$192,2,TRUE)</f>
        <v>/|\</v>
      </c>
      <c r="P1649" s="23">
        <v>1</v>
      </c>
      <c r="Q1649" s="43" t="str">
        <f>VLOOKUP($D1649,Sheet1!$J$5:$L$192,2,TRUE)</f>
        <v>/|\.</v>
      </c>
      <c r="R1649" s="23">
        <f>FLOOR(VLOOKUP($D1649,Sheet1!$M$5:$O$192,3,TRUE),1)</f>
        <v>108</v>
      </c>
      <c r="S1649" s="42" t="str">
        <f>VLOOKUP($D1649,Sheet1!$M$5:$O$192,2,TRUE)</f>
        <v>/|\.</v>
      </c>
      <c r="T1649" s="117">
        <f>IF(ABS(D1649-VLOOKUP($D1649,Sheet1!$M$5:$T$192,8,TRUE))&lt;10^-10,"SoCA",D1649-VLOOKUP($D1649,Sheet1!$M$5:$T$192,8,TRUE))</f>
        <v>-0.28797444580244758</v>
      </c>
      <c r="U1649" s="109">
        <f>IF(VLOOKUP($D1649,Sheet1!$M$5:$U$192,9,TRUE)=0,"",IF(ABS(D1649-VLOOKUP($D1649,Sheet1!$M$5:$U$192,9,TRUE))&lt;10^-10,"Alt.",D1649-VLOOKUP($D1649,Sheet1!$M$5:$U$192,9,TRUE)))</f>
        <v>-0.31493474100488328</v>
      </c>
      <c r="V1649" s="132">
        <f>$D1649-Sheet1!$M$3*$R1649</f>
        <v>-0.13294332252683461</v>
      </c>
      <c r="Z1649" s="6"/>
      <c r="AA1649" s="61"/>
    </row>
    <row r="1650" spans="1:27" ht="13.5">
      <c r="A1650" t="s">
        <v>721</v>
      </c>
      <c r="B1650">
        <v>413696</v>
      </c>
      <c r="C1650">
        <v>426465</v>
      </c>
      <c r="D1650" s="13">
        <f t="shared" si="33"/>
        <v>52.627603255090946</v>
      </c>
      <c r="E1650" s="61" t="s">
        <v>1931</v>
      </c>
      <c r="F1650" s="65">
        <v>146.54994685708203</v>
      </c>
      <c r="G1650" s="6">
        <v>609</v>
      </c>
      <c r="H1650" s="6">
        <v>566</v>
      </c>
      <c r="I1650" s="65">
        <v>4.7595267347866201</v>
      </c>
      <c r="J1650" s="6">
        <f>VLOOKUP($D1650,Sheet1!$A$5:$C$192,3,TRUE)</f>
        <v>10</v>
      </c>
      <c r="K1650" s="42" t="str">
        <f>VLOOKUP($D1650,Sheet1!$A$5:$C$192,2,TRUE)</f>
        <v>/|\</v>
      </c>
      <c r="L1650" s="6">
        <f>FLOOR(VLOOKUP($D1650,Sheet1!$D$5:$F$192,3,TRUE),1)</f>
        <v>22</v>
      </c>
      <c r="M1650" s="42" t="str">
        <f>VLOOKUP($D1650,Sheet1!$D$5:$F$192,2,TRUE)</f>
        <v>/|\</v>
      </c>
      <c r="N1650" s="23">
        <f>FLOOR(VLOOKUP($D1650,Sheet1!$G$5:$I$192,3,TRUE),1)</f>
        <v>27</v>
      </c>
      <c r="O1650" s="42" t="str">
        <f>VLOOKUP($D1650,Sheet1!$G$5:$I$192,2,TRUE)</f>
        <v>/|\</v>
      </c>
      <c r="P1650" s="23">
        <v>1</v>
      </c>
      <c r="Q1650" s="43" t="str">
        <f>VLOOKUP($D1650,Sheet1!$J$5:$L$192,2,TRUE)</f>
        <v>/|\.</v>
      </c>
      <c r="R1650" s="23">
        <f>FLOOR(VLOOKUP($D1650,Sheet1!$M$5:$O$192,3,TRUE),1)</f>
        <v>108</v>
      </c>
      <c r="S1650" s="42" t="str">
        <f>VLOOKUP($D1650,Sheet1!$M$5:$O$192,2,TRUE)</f>
        <v>/|\.</v>
      </c>
      <c r="T1650" s="117">
        <f>IF(ABS(D1650-VLOOKUP($D1650,Sheet1!$M$5:$T$192,8,TRUE))&lt;10^-10,"SoCA",D1650-VLOOKUP($D1650,Sheet1!$M$5:$T$192,8,TRUE))</f>
        <v>-0.22262380909835144</v>
      </c>
      <c r="U1650" s="109">
        <f>IF(VLOOKUP($D1650,Sheet1!$M$5:$U$192,9,TRUE)=0,"",IF(ABS(D1650-VLOOKUP($D1650,Sheet1!$M$5:$U$192,9,TRUE))&lt;10^-10,"Alt.",D1650-VLOOKUP($D1650,Sheet1!$M$5:$U$192,9,TRUE)))</f>
        <v>-0.24958410430078715</v>
      </c>
      <c r="V1650" s="132">
        <f>$D1650-Sheet1!$M$3*$R1650</f>
        <v>-6.7592685822738474E-2</v>
      </c>
      <c r="Z1650" s="6"/>
      <c r="AA1650" s="61"/>
    </row>
    <row r="1651" spans="1:27" ht="13.5">
      <c r="A1651" t="s">
        <v>513</v>
      </c>
      <c r="B1651">
        <v>48828125</v>
      </c>
      <c r="C1651">
        <v>50331648</v>
      </c>
      <c r="D1651" s="13">
        <f t="shared" si="33"/>
        <v>52.504148352204417</v>
      </c>
      <c r="E1651" s="61">
        <v>5</v>
      </c>
      <c r="F1651" s="65">
        <v>176.07482963610832</v>
      </c>
      <c r="G1651" s="6">
        <v>388</v>
      </c>
      <c r="H1651" s="6">
        <v>354</v>
      </c>
      <c r="I1651" s="65">
        <v>-2.2328716970719573</v>
      </c>
      <c r="J1651" s="6">
        <f>VLOOKUP($D1651,Sheet1!$A$5:$C$192,3,TRUE)</f>
        <v>10</v>
      </c>
      <c r="K1651" s="42" t="str">
        <f>VLOOKUP($D1651,Sheet1!$A$5:$C$192,2,TRUE)</f>
        <v>/|\</v>
      </c>
      <c r="L1651" s="6">
        <f>FLOOR(VLOOKUP($D1651,Sheet1!$D$5:$F$192,3,TRUE),1)</f>
        <v>22</v>
      </c>
      <c r="M1651" s="42" t="str">
        <f>VLOOKUP($D1651,Sheet1!$D$5:$F$192,2,TRUE)</f>
        <v>/|\</v>
      </c>
      <c r="N1651" s="23">
        <f>FLOOR(VLOOKUP($D1651,Sheet1!$G$5:$I$192,3,TRUE),1)</f>
        <v>27</v>
      </c>
      <c r="O1651" s="42" t="str">
        <f>VLOOKUP($D1651,Sheet1!$G$5:$I$192,2,TRUE)</f>
        <v>/|\</v>
      </c>
      <c r="P1651" s="23">
        <v>1</v>
      </c>
      <c r="Q1651" s="43" t="str">
        <f>VLOOKUP($D1651,Sheet1!$J$5:$L$192,2,TRUE)</f>
        <v>/|\.</v>
      </c>
      <c r="R1651" s="23">
        <f>FLOOR(VLOOKUP($D1651,Sheet1!$M$5:$O$192,3,TRUE),1)</f>
        <v>108</v>
      </c>
      <c r="S1651" s="42" t="str">
        <f>VLOOKUP($D1651,Sheet1!$M$5:$O$192,2,TRUE)</f>
        <v>/|\.</v>
      </c>
      <c r="T1651" s="117">
        <f>IF(ABS(D1651-VLOOKUP($D1651,Sheet1!$M$5:$T$192,8,TRUE))&lt;10^-10,"SoCA",D1651-VLOOKUP($D1651,Sheet1!$M$5:$T$192,8,TRUE))</f>
        <v>-0.34607871198488027</v>
      </c>
      <c r="U1651" s="109">
        <f>IF(VLOOKUP($D1651,Sheet1!$M$5:$U$192,9,TRUE)=0,"",IF(ABS(D1651-VLOOKUP($D1651,Sheet1!$M$5:$U$192,9,TRUE))&lt;10^-10,"Alt.",D1651-VLOOKUP($D1651,Sheet1!$M$5:$U$192,9,TRUE)))</f>
        <v>-0.37303900718731597</v>
      </c>
      <c r="V1651" s="132">
        <f>$D1651-Sheet1!$M$3*$R1651</f>
        <v>-0.1910475887092673</v>
      </c>
      <c r="Z1651" s="6"/>
      <c r="AA1651" s="61"/>
    </row>
    <row r="1652" spans="1:27" ht="13.5">
      <c r="A1652" t="s">
        <v>796</v>
      </c>
      <c r="B1652">
        <v>6208</v>
      </c>
      <c r="C1652">
        <v>6399</v>
      </c>
      <c r="D1652" s="13">
        <f t="shared" si="33"/>
        <v>52.461490649520066</v>
      </c>
      <c r="E1652" s="61" t="s">
        <v>1931</v>
      </c>
      <c r="F1652" s="65">
        <v>176.25340766525164</v>
      </c>
      <c r="G1652" s="6">
        <v>740</v>
      </c>
      <c r="H1652" s="6">
        <v>642</v>
      </c>
      <c r="I1652" s="65">
        <v>0.76975489309279022</v>
      </c>
      <c r="J1652" s="6">
        <f>VLOOKUP($D1652,Sheet1!$A$5:$C$192,3,TRUE)</f>
        <v>10</v>
      </c>
      <c r="K1652" s="42" t="str">
        <f>VLOOKUP($D1652,Sheet1!$A$5:$C$192,2,TRUE)</f>
        <v>/|\</v>
      </c>
      <c r="L1652" s="6">
        <f>FLOOR(VLOOKUP($D1652,Sheet1!$D$5:$F$192,3,TRUE),1)</f>
        <v>22</v>
      </c>
      <c r="M1652" s="42" t="str">
        <f>VLOOKUP($D1652,Sheet1!$D$5:$F$192,2,TRUE)</f>
        <v>/|\</v>
      </c>
      <c r="N1652" s="23">
        <f>FLOOR(VLOOKUP($D1652,Sheet1!$G$5:$I$192,3,TRUE),1)</f>
        <v>27</v>
      </c>
      <c r="O1652" s="42" t="str">
        <f>VLOOKUP($D1652,Sheet1!$G$5:$I$192,2,TRUE)</f>
        <v>/|\</v>
      </c>
      <c r="P1652" s="23">
        <v>1</v>
      </c>
      <c r="Q1652" s="43" t="str">
        <f>VLOOKUP($D1652,Sheet1!$J$5:$L$192,2,TRUE)</f>
        <v>/|\.</v>
      </c>
      <c r="R1652" s="23">
        <f>FLOOR(VLOOKUP($D1652,Sheet1!$M$5:$O$192,3,TRUE),1)</f>
        <v>108</v>
      </c>
      <c r="S1652" s="42" t="str">
        <f>VLOOKUP($D1652,Sheet1!$M$5:$O$192,2,TRUE)</f>
        <v>/|\.</v>
      </c>
      <c r="T1652" s="117">
        <f>IF(ABS(D1652-VLOOKUP($D1652,Sheet1!$M$5:$T$192,8,TRUE))&lt;10^-10,"SoCA",D1652-VLOOKUP($D1652,Sheet1!$M$5:$T$192,8,TRUE))</f>
        <v>-0.38873641466923203</v>
      </c>
      <c r="U1652" s="109">
        <f>IF(VLOOKUP($D1652,Sheet1!$M$5:$U$192,9,TRUE)=0,"",IF(ABS(D1652-VLOOKUP($D1652,Sheet1!$M$5:$U$192,9,TRUE))&lt;10^-10,"Alt.",D1652-VLOOKUP($D1652,Sheet1!$M$5:$U$192,9,TRUE)))</f>
        <v>-0.41569670987166774</v>
      </c>
      <c r="V1652" s="132">
        <f>$D1652-Sheet1!$M$3*$R1652</f>
        <v>-0.23370529139361906</v>
      </c>
      <c r="Z1652" s="6"/>
      <c r="AA1652" s="61"/>
    </row>
    <row r="1653" spans="1:27" ht="13.5">
      <c r="A1653" t="s">
        <v>1540</v>
      </c>
      <c r="B1653">
        <v>8505</v>
      </c>
      <c r="C1653">
        <v>8768</v>
      </c>
      <c r="D1653" s="13">
        <f t="shared" si="33"/>
        <v>52.723874891735306</v>
      </c>
      <c r="E1653" s="61" t="s">
        <v>1931</v>
      </c>
      <c r="F1653" s="65">
        <v>183.45197009363949</v>
      </c>
      <c r="G1653" s="6">
        <v>1444</v>
      </c>
      <c r="H1653" s="6">
        <v>1389</v>
      </c>
      <c r="I1653" s="65">
        <v>-8.2464010606182399</v>
      </c>
      <c r="J1653" s="6">
        <f>VLOOKUP($D1653,Sheet1!$A$5:$C$192,3,TRUE)</f>
        <v>10</v>
      </c>
      <c r="K1653" s="42" t="str">
        <f>VLOOKUP($D1653,Sheet1!$A$5:$C$192,2,TRUE)</f>
        <v>/|\</v>
      </c>
      <c r="L1653" s="6">
        <f>FLOOR(VLOOKUP($D1653,Sheet1!$D$5:$F$192,3,TRUE),1)</f>
        <v>22</v>
      </c>
      <c r="M1653" s="42" t="str">
        <f>VLOOKUP($D1653,Sheet1!$D$5:$F$192,2,TRUE)</f>
        <v>/|\</v>
      </c>
      <c r="N1653" s="23">
        <f>FLOOR(VLOOKUP($D1653,Sheet1!$G$5:$I$192,3,TRUE),1)</f>
        <v>27</v>
      </c>
      <c r="O1653" s="42" t="str">
        <f>VLOOKUP($D1653,Sheet1!$G$5:$I$192,2,TRUE)</f>
        <v>/|\</v>
      </c>
      <c r="P1653" s="23">
        <v>1</v>
      </c>
      <c r="Q1653" s="43" t="str">
        <f>VLOOKUP($D1653,Sheet1!$J$5:$L$192,2,TRUE)</f>
        <v>/|\.</v>
      </c>
      <c r="R1653" s="23">
        <f>FLOOR(VLOOKUP($D1653,Sheet1!$M$5:$O$192,3,TRUE),1)</f>
        <v>108</v>
      </c>
      <c r="S1653" s="42" t="str">
        <f>VLOOKUP($D1653,Sheet1!$M$5:$O$192,2,TRUE)</f>
        <v>/|\.</v>
      </c>
      <c r="T1653" s="117">
        <f>IF(ABS(D1653-VLOOKUP($D1653,Sheet1!$M$5:$T$192,8,TRUE))&lt;10^-10,"SoCA",D1653-VLOOKUP($D1653,Sheet1!$M$5:$T$192,8,TRUE))</f>
        <v>-0.12635217245399133</v>
      </c>
      <c r="U1653" s="109">
        <f>IF(VLOOKUP($D1653,Sheet1!$M$5:$U$192,9,TRUE)=0,"",IF(ABS(D1653-VLOOKUP($D1653,Sheet1!$M$5:$U$192,9,TRUE))&lt;10^-10,"Alt.",D1653-VLOOKUP($D1653,Sheet1!$M$5:$U$192,9,TRUE)))</f>
        <v>-0.15331246765642703</v>
      </c>
      <c r="V1653" s="132">
        <f>$D1653-Sheet1!$M$3*$R1653</f>
        <v>2.867895082162164E-2</v>
      </c>
      <c r="Z1653" s="6"/>
      <c r="AA1653" s="61"/>
    </row>
    <row r="1654" spans="1:27" ht="13.5">
      <c r="A1654" t="s">
        <v>615</v>
      </c>
      <c r="B1654" s="58">
        <v>1977326743</v>
      </c>
      <c r="C1654" s="58">
        <v>2038431744</v>
      </c>
      <c r="D1654" s="13">
        <f t="shared" si="33"/>
        <v>52.690033166563033</v>
      </c>
      <c r="E1654" s="61">
        <v>7</v>
      </c>
      <c r="F1654" s="65">
        <v>246.82696363756273</v>
      </c>
      <c r="G1654" s="6">
        <v>507</v>
      </c>
      <c r="H1654" s="6">
        <v>460</v>
      </c>
      <c r="I1654" s="65">
        <v>1.7556826976927331</v>
      </c>
      <c r="J1654" s="6">
        <f>VLOOKUP($D1654,Sheet1!$A$5:$C$192,3,TRUE)</f>
        <v>10</v>
      </c>
      <c r="K1654" s="42" t="str">
        <f>VLOOKUP($D1654,Sheet1!$A$5:$C$192,2,TRUE)</f>
        <v>/|\</v>
      </c>
      <c r="L1654" s="6">
        <f>FLOOR(VLOOKUP($D1654,Sheet1!$D$5:$F$192,3,TRUE),1)</f>
        <v>22</v>
      </c>
      <c r="M1654" s="42" t="str">
        <f>VLOOKUP($D1654,Sheet1!$D$5:$F$192,2,TRUE)</f>
        <v>/|\</v>
      </c>
      <c r="N1654" s="23">
        <f>FLOOR(VLOOKUP($D1654,Sheet1!$G$5:$I$192,3,TRUE),1)</f>
        <v>27</v>
      </c>
      <c r="O1654" s="42" t="str">
        <f>VLOOKUP($D1654,Sheet1!$G$5:$I$192,2,TRUE)</f>
        <v>/|\</v>
      </c>
      <c r="P1654" s="23">
        <v>1</v>
      </c>
      <c r="Q1654" s="43" t="str">
        <f>VLOOKUP($D1654,Sheet1!$J$5:$L$192,2,TRUE)</f>
        <v>/|\.</v>
      </c>
      <c r="R1654" s="23">
        <f>FLOOR(VLOOKUP($D1654,Sheet1!$M$5:$O$192,3,TRUE),1)</f>
        <v>108</v>
      </c>
      <c r="S1654" s="42" t="str">
        <f>VLOOKUP($D1654,Sheet1!$M$5:$O$192,2,TRUE)</f>
        <v>/|\.</v>
      </c>
      <c r="T1654" s="117">
        <f>IF(ABS(D1654-VLOOKUP($D1654,Sheet1!$M$5:$T$192,8,TRUE))&lt;10^-10,"SoCA",D1654-VLOOKUP($D1654,Sheet1!$M$5:$T$192,8,TRUE))</f>
        <v>-0.16019389762626446</v>
      </c>
      <c r="U1654" s="109">
        <f>IF(VLOOKUP($D1654,Sheet1!$M$5:$U$192,9,TRUE)=0,"",IF(ABS(D1654-VLOOKUP($D1654,Sheet1!$M$5:$U$192,9,TRUE))&lt;10^-10,"Alt.",D1654-VLOOKUP($D1654,Sheet1!$M$5:$U$192,9,TRUE)))</f>
        <v>-0.18715419282870016</v>
      </c>
      <c r="V1654" s="132">
        <f>$D1654-Sheet1!$M$3*$R1654</f>
        <v>-5.1627743506514889E-3</v>
      </c>
      <c r="Z1654" s="6"/>
      <c r="AA1654" s="61"/>
    </row>
    <row r="1655" spans="1:27" ht="13.5">
      <c r="A1655" t="s">
        <v>1006</v>
      </c>
      <c r="B1655">
        <v>217088</v>
      </c>
      <c r="C1655">
        <v>223803</v>
      </c>
      <c r="D1655" s="13">
        <f t="shared" si="33"/>
        <v>52.739274160700717</v>
      </c>
      <c r="E1655" s="61" t="s">
        <v>1931</v>
      </c>
      <c r="F1655" s="65">
        <v>361.15118149209854</v>
      </c>
      <c r="G1655" s="6">
        <v>919</v>
      </c>
      <c r="H1655" s="6">
        <v>854</v>
      </c>
      <c r="I1655" s="65">
        <v>2.7526507502889674</v>
      </c>
      <c r="J1655" s="6">
        <f>VLOOKUP($D1655,Sheet1!$A$5:$C$192,3,TRUE)</f>
        <v>10</v>
      </c>
      <c r="K1655" s="42" t="str">
        <f>VLOOKUP($D1655,Sheet1!$A$5:$C$192,2,TRUE)</f>
        <v>/|\</v>
      </c>
      <c r="L1655" s="6">
        <f>FLOOR(VLOOKUP($D1655,Sheet1!$D$5:$F$192,3,TRUE),1)</f>
        <v>22</v>
      </c>
      <c r="M1655" s="42" t="str">
        <f>VLOOKUP($D1655,Sheet1!$D$5:$F$192,2,TRUE)</f>
        <v>/|\</v>
      </c>
      <c r="N1655" s="23">
        <f>FLOOR(VLOOKUP($D1655,Sheet1!$G$5:$I$192,3,TRUE),1)</f>
        <v>27</v>
      </c>
      <c r="O1655" s="42" t="str">
        <f>VLOOKUP($D1655,Sheet1!$G$5:$I$192,2,TRUE)</f>
        <v>/|\</v>
      </c>
      <c r="P1655" s="23">
        <v>1</v>
      </c>
      <c r="Q1655" s="43" t="str">
        <f>VLOOKUP($D1655,Sheet1!$J$5:$L$192,2,TRUE)</f>
        <v>/|\.</v>
      </c>
      <c r="R1655" s="23">
        <f>FLOOR(VLOOKUP($D1655,Sheet1!$M$5:$O$192,3,TRUE),1)</f>
        <v>108</v>
      </c>
      <c r="S1655" s="42" t="str">
        <f>VLOOKUP($D1655,Sheet1!$M$5:$O$192,2,TRUE)</f>
        <v>/|\.</v>
      </c>
      <c r="T1655" s="117">
        <f>IF(ABS(D1655-VLOOKUP($D1655,Sheet1!$M$5:$T$192,8,TRUE))&lt;10^-10,"SoCA",D1655-VLOOKUP($D1655,Sheet1!$M$5:$T$192,8,TRUE))</f>
        <v>-0.110952903488581</v>
      </c>
      <c r="U1655" s="109">
        <f>IF(VLOOKUP($D1655,Sheet1!$M$5:$U$192,9,TRUE)=0,"",IF(ABS(D1655-VLOOKUP($D1655,Sheet1!$M$5:$U$192,9,TRUE))&lt;10^-10,"Alt.",D1655-VLOOKUP($D1655,Sheet1!$M$5:$U$192,9,TRUE)))</f>
        <v>-0.1379131986910167</v>
      </c>
      <c r="V1655" s="132">
        <f>$D1655-Sheet1!$M$3*$R1655</f>
        <v>4.4078219787031969E-2</v>
      </c>
      <c r="Z1655" s="6"/>
      <c r="AA1655" s="61"/>
    </row>
    <row r="1656" spans="1:27" ht="13.5">
      <c r="A1656" t="s">
        <v>1442</v>
      </c>
      <c r="B1656">
        <v>50625</v>
      </c>
      <c r="C1656">
        <v>52192</v>
      </c>
      <c r="D1656" s="13">
        <f t="shared" si="33"/>
        <v>52.774421133372371</v>
      </c>
      <c r="E1656" s="61" t="s">
        <v>1931</v>
      </c>
      <c r="F1656" s="65">
        <v>366.58649929381409</v>
      </c>
      <c r="G1656" s="6">
        <v>1357</v>
      </c>
      <c r="H1656" s="6">
        <v>1291</v>
      </c>
      <c r="I1656" s="65">
        <v>-7.2495133768658189</v>
      </c>
      <c r="J1656" s="6">
        <f>VLOOKUP($D1656,Sheet1!$A$5:$C$192,3,TRUE)</f>
        <v>10</v>
      </c>
      <c r="K1656" s="42" t="str">
        <f>VLOOKUP($D1656,Sheet1!$A$5:$C$192,2,TRUE)</f>
        <v>/|\</v>
      </c>
      <c r="L1656" s="6">
        <f>FLOOR(VLOOKUP($D1656,Sheet1!$D$5:$F$192,3,TRUE),1)</f>
        <v>22</v>
      </c>
      <c r="M1656" s="42" t="str">
        <f>VLOOKUP($D1656,Sheet1!$D$5:$F$192,2,TRUE)</f>
        <v>/|\</v>
      </c>
      <c r="N1656" s="23">
        <f>FLOOR(VLOOKUP($D1656,Sheet1!$G$5:$I$192,3,TRUE),1)</f>
        <v>27</v>
      </c>
      <c r="O1656" s="42" t="str">
        <f>VLOOKUP($D1656,Sheet1!$G$5:$I$192,2,TRUE)</f>
        <v>/|\</v>
      </c>
      <c r="P1656" s="23">
        <v>1</v>
      </c>
      <c r="Q1656" s="43" t="str">
        <f>VLOOKUP($D1656,Sheet1!$J$5:$L$192,2,TRUE)</f>
        <v>/|\.</v>
      </c>
      <c r="R1656" s="23">
        <f>FLOOR(VLOOKUP($D1656,Sheet1!$M$5:$O$192,3,TRUE),1)</f>
        <v>108</v>
      </c>
      <c r="S1656" s="42" t="str">
        <f>VLOOKUP($D1656,Sheet1!$M$5:$O$192,2,TRUE)</f>
        <v>/|\.</v>
      </c>
      <c r="T1656" s="117">
        <f>IF(ABS(D1656-VLOOKUP($D1656,Sheet1!$M$5:$T$192,8,TRUE))&lt;10^-10,"SoCA",D1656-VLOOKUP($D1656,Sheet1!$M$5:$T$192,8,TRUE))</f>
        <v>-7.5805930816926548E-2</v>
      </c>
      <c r="U1656" s="109">
        <f>IF(VLOOKUP($D1656,Sheet1!$M$5:$U$192,9,TRUE)=0,"",IF(ABS(D1656-VLOOKUP($D1656,Sheet1!$M$5:$U$192,9,TRUE))&lt;10^-10,"Alt.",D1656-VLOOKUP($D1656,Sheet1!$M$5:$U$192,9,TRUE)))</f>
        <v>-0.10276622601936225</v>
      </c>
      <c r="V1656" s="132">
        <f>$D1656-Sheet1!$M$3*$R1656</f>
        <v>7.9225192458686422E-2</v>
      </c>
      <c r="Z1656" s="6"/>
      <c r="AA1656" s="61"/>
    </row>
    <row r="1657" spans="1:27" ht="13.5">
      <c r="A1657" s="80" t="s">
        <v>210</v>
      </c>
      <c r="B1657" s="80">
        <f>2^5</f>
        <v>32</v>
      </c>
      <c r="C1657" s="80">
        <f>3*11</f>
        <v>33</v>
      </c>
      <c r="D1657" s="51">
        <f t="shared" si="33"/>
        <v>53.272943230144122</v>
      </c>
      <c r="E1657" s="61">
        <v>11</v>
      </c>
      <c r="F1657" s="65">
        <v>13.248583480582219</v>
      </c>
      <c r="G1657" s="6">
        <v>10</v>
      </c>
      <c r="H1657" s="6">
        <v>11</v>
      </c>
      <c r="I1657" s="65">
        <v>-2.280209198578937</v>
      </c>
      <c r="J1657" s="81">
        <f>VLOOKUP($D1657,Sheet1!$A$5:$C$192,3,TRUE)</f>
        <v>10</v>
      </c>
      <c r="K1657" s="82" t="str">
        <f>VLOOKUP($D1657,Sheet1!$A$5:$C$192,2,TRUE)</f>
        <v>/|\</v>
      </c>
      <c r="L1657" s="81">
        <f>FLOOR(VLOOKUP($D1657,Sheet1!$D$5:$F$192,3,TRUE),1)</f>
        <v>22</v>
      </c>
      <c r="M1657" s="82" t="str">
        <f>VLOOKUP($D1657,Sheet1!$D$5:$F$192,2,TRUE)</f>
        <v>/|\</v>
      </c>
      <c r="N1657" s="81">
        <f>FLOOR(VLOOKUP($D1657,Sheet1!$G$5:$I$192,3,TRUE),1)</f>
        <v>27</v>
      </c>
      <c r="O1657" s="82" t="str">
        <f>VLOOKUP($D1657,Sheet1!$G$5:$I$192,2,TRUE)</f>
        <v>/|\</v>
      </c>
      <c r="P1657" s="81">
        <v>1</v>
      </c>
      <c r="Q1657" s="82" t="str">
        <f>VLOOKUP($D1657,Sheet1!$J$5:$L$192,2,TRUE)</f>
        <v>/|\</v>
      </c>
      <c r="R1657" s="81">
        <f>FLOOR(VLOOKUP($D1657,Sheet1!$M$5:$O$192,3,TRUE),1)</f>
        <v>109</v>
      </c>
      <c r="S1657" s="82" t="str">
        <f>VLOOKUP($D1657,Sheet1!$M$5:$O$192,2,TRUE)</f>
        <v>/|\</v>
      </c>
      <c r="T1657" s="111" t="str">
        <f>IF(ABS(D1657-VLOOKUP($D1657,Sheet1!$M$5:$T$192,8,TRUE))&lt;10^-10,"SoCA",D1657-VLOOKUP($D1657,Sheet1!$M$5:$T$192,8,TRUE))</f>
        <v>SoCA</v>
      </c>
      <c r="U1657" s="110" t="str">
        <f>IF(VLOOKUP($D1657,Sheet1!$M$5:$U$192,9,TRUE)=0,"",IF(ABS(D1657-VLOOKUP($D1657,Sheet1!$M$5:$U$192,9,TRUE))&lt;10^-10,"Alt.",D1657-VLOOKUP($D1657,Sheet1!$M$5:$U$192,9,TRUE)))</f>
        <v/>
      </c>
      <c r="V1657" s="135">
        <f>$D1657-Sheet1!$M$3*$R1657</f>
        <v>8.9828808296054774E-2</v>
      </c>
      <c r="Z1657" s="6"/>
      <c r="AA1657" s="61"/>
    </row>
    <row r="1658" spans="1:27" ht="13.5">
      <c r="A1658" s="6" t="s">
        <v>386</v>
      </c>
      <c r="B1658" s="6">
        <f>3^2*5^2</f>
        <v>225</v>
      </c>
      <c r="C1658" s="6">
        <f>2^3*29</f>
        <v>232</v>
      </c>
      <c r="D1658" s="13">
        <f t="shared" si="33"/>
        <v>53.039764692642031</v>
      </c>
      <c r="E1658" s="61">
        <v>29</v>
      </c>
      <c r="F1658" s="65">
        <v>47.235683246587627</v>
      </c>
      <c r="G1658" s="6">
        <v>225</v>
      </c>
      <c r="H1658" s="6">
        <v>221</v>
      </c>
      <c r="I1658" s="65">
        <v>-5.2658515465092695</v>
      </c>
      <c r="J1658" s="6">
        <f>VLOOKUP($D1658,Sheet1!$A$5:$C$192,3,TRUE)</f>
        <v>10</v>
      </c>
      <c r="K1658" s="42" t="str">
        <f>VLOOKUP($D1658,Sheet1!$A$5:$C$192,2,TRUE)</f>
        <v>/|\</v>
      </c>
      <c r="L1658" s="6">
        <f>FLOOR(VLOOKUP($D1658,Sheet1!$D$5:$F$192,3,TRUE),1)</f>
        <v>22</v>
      </c>
      <c r="M1658" s="42" t="str">
        <f>VLOOKUP($D1658,Sheet1!$D$5:$F$192,2,TRUE)</f>
        <v>/|\</v>
      </c>
      <c r="N1658" s="23">
        <f>FLOOR(VLOOKUP($D1658,Sheet1!$G$5:$I$192,3,TRUE),1)</f>
        <v>27</v>
      </c>
      <c r="O1658" s="42" t="str">
        <f>VLOOKUP($D1658,Sheet1!$G$5:$I$192,2,TRUE)</f>
        <v>/|\</v>
      </c>
      <c r="P1658" s="23">
        <v>1</v>
      </c>
      <c r="Q1658" s="43" t="str">
        <f>VLOOKUP($D1658,Sheet1!$J$5:$L$192,2,TRUE)</f>
        <v>/|\</v>
      </c>
      <c r="R1658" s="23">
        <f>FLOOR(VLOOKUP($D1658,Sheet1!$M$5:$O$192,3,TRUE),1)</f>
        <v>109</v>
      </c>
      <c r="S1658" s="42" t="str">
        <f>VLOOKUP($D1658,Sheet1!$M$5:$O$192,2,TRUE)</f>
        <v>.(/|'</v>
      </c>
      <c r="T1658" s="117">
        <f>IF(ABS(D1658-VLOOKUP($D1658,Sheet1!$M$5:$T$192,8,TRUE))&lt;10^-10,"SoCA",D1658-VLOOKUP($D1658,Sheet1!$M$5:$T$192,8,TRUE))</f>
        <v>4.258571442072423E-2</v>
      </c>
      <c r="U1658" s="109">
        <f>IF(VLOOKUP($D1658,Sheet1!$M$5:$U$192,9,TRUE)=0,"",IF(ABS(D1658-VLOOKUP($D1658,Sheet1!$M$5:$U$192,9,TRUE))&lt;10^-10,"Alt.",D1658-VLOOKUP($D1658,Sheet1!$M$5:$U$192,9,TRUE)))</f>
        <v>6.9546009623159932E-2</v>
      </c>
      <c r="V1658" s="132">
        <f>$D1658-Sheet1!$M$3*$R1658</f>
        <v>-0.14334972920603661</v>
      </c>
      <c r="Z1658" s="6"/>
      <c r="AA1658" s="61"/>
    </row>
    <row r="1659" spans="1:27" ht="13.5">
      <c r="A1659" s="23" t="s">
        <v>620</v>
      </c>
      <c r="B1659" s="23">
        <f>2^2*3^3*11</f>
        <v>1188</v>
      </c>
      <c r="C1659" s="23">
        <f>5^2*7^2</f>
        <v>1225</v>
      </c>
      <c r="D1659" s="13">
        <f t="shared" si="33"/>
        <v>53.096295707000529</v>
      </c>
      <c r="E1659" s="61">
        <v>11</v>
      </c>
      <c r="F1659" s="65">
        <v>56.849133308416498</v>
      </c>
      <c r="G1659" s="6">
        <v>446</v>
      </c>
      <c r="H1659" s="6">
        <v>465</v>
      </c>
      <c r="I1659" s="65">
        <v>-6.2693323670170207</v>
      </c>
      <c r="J1659" s="6">
        <f>VLOOKUP($D1659,Sheet1!$A$5:$C$192,3,TRUE)</f>
        <v>10</v>
      </c>
      <c r="K1659" s="42" t="str">
        <f>VLOOKUP($D1659,Sheet1!$A$5:$C$192,2,TRUE)</f>
        <v>/|\</v>
      </c>
      <c r="L1659" s="6">
        <f>FLOOR(VLOOKUP($D1659,Sheet1!$D$5:$F$192,3,TRUE),1)</f>
        <v>22</v>
      </c>
      <c r="M1659" s="42" t="str">
        <f>VLOOKUP($D1659,Sheet1!$D$5:$F$192,2,TRUE)</f>
        <v>/|\</v>
      </c>
      <c r="N1659" s="23">
        <f>FLOOR(VLOOKUP($D1659,Sheet1!$G$5:$I$192,3,TRUE),1)</f>
        <v>27</v>
      </c>
      <c r="O1659" s="42" t="str">
        <f>VLOOKUP($D1659,Sheet1!$G$5:$I$192,2,TRUE)</f>
        <v>/|\</v>
      </c>
      <c r="P1659" s="23">
        <v>1</v>
      </c>
      <c r="Q1659" s="43" t="str">
        <f>VLOOKUP($D1659,Sheet1!$J$5:$L$192,2,TRUE)</f>
        <v>/|\</v>
      </c>
      <c r="R1659" s="129">
        <f>FLOOR(VLOOKUP($D1659,Sheet1!$M$5:$O$192,3,TRUE),1)</f>
        <v>109</v>
      </c>
      <c r="S1659" s="43" t="str">
        <f>VLOOKUP($D1659,Sheet1!$M$5:$O$192,2,TRUE)</f>
        <v>.(/|'</v>
      </c>
      <c r="T1659" s="117">
        <f>IF(ABS(D1659-VLOOKUP($D1659,Sheet1!$M$5:$T$192,8,TRUE))&lt;10^-10,"SoCA",D1659-VLOOKUP($D1659,Sheet1!$M$5:$T$192,8,TRUE))</f>
        <v>9.9116728779222285E-2</v>
      </c>
      <c r="U1659" s="117">
        <f>IF(VLOOKUP($D1659,Sheet1!$M$5:$U$192,9,TRUE)=0,"",IF(ABS(D1659-VLOOKUP($D1659,Sheet1!$M$5:$U$192,9,TRUE))&lt;10^-10,"Alt.",D1659-VLOOKUP($D1659,Sheet1!$M$5:$U$192,9,TRUE)))</f>
        <v>0.12607702398165799</v>
      </c>
      <c r="V1659" s="132">
        <f>$D1659-Sheet1!$M$3*$R1659</f>
        <v>-8.6818714847538558E-2</v>
      </c>
      <c r="Z1659" s="6"/>
      <c r="AA1659" s="61"/>
    </row>
    <row r="1660" spans="1:27" ht="13.5">
      <c r="A1660" s="40" t="s">
        <v>315</v>
      </c>
      <c r="B1660" s="49">
        <f>2^29</f>
        <v>536870912</v>
      </c>
      <c r="C1660" s="49">
        <f>3^11*5^5</f>
        <v>553584375</v>
      </c>
      <c r="D1660" s="13">
        <f t="shared" si="33"/>
        <v>53.073578843435683</v>
      </c>
      <c r="E1660" s="61">
        <v>5</v>
      </c>
      <c r="F1660" s="65">
        <v>70.579575382557834</v>
      </c>
      <c r="G1660" s="6">
        <v>140.1</v>
      </c>
      <c r="H1660" s="6">
        <v>146.1</v>
      </c>
      <c r="I1660" s="65">
        <v>7.7320663930347067</v>
      </c>
      <c r="J1660" s="6">
        <f>VLOOKUP($D1660,Sheet1!$A$5:$C$192,3,TRUE)</f>
        <v>10</v>
      </c>
      <c r="K1660" s="42" t="str">
        <f>VLOOKUP($D1660,Sheet1!$A$5:$C$192,2,TRUE)</f>
        <v>/|\</v>
      </c>
      <c r="L1660" s="6">
        <f>FLOOR(VLOOKUP($D1660,Sheet1!$D$5:$F$192,3,TRUE),1)</f>
        <v>22</v>
      </c>
      <c r="M1660" s="42" t="str">
        <f>VLOOKUP($D1660,Sheet1!$D$5:$F$192,2,TRUE)</f>
        <v>/|\</v>
      </c>
      <c r="N1660" s="23">
        <f>FLOOR(VLOOKUP($D1660,Sheet1!$G$5:$I$192,3,TRUE),1)</f>
        <v>27</v>
      </c>
      <c r="O1660" s="42" t="str">
        <f>VLOOKUP($D1660,Sheet1!$G$5:$I$192,2,TRUE)</f>
        <v>/|\</v>
      </c>
      <c r="P1660" s="23">
        <v>1</v>
      </c>
      <c r="Q1660" s="43" t="str">
        <f>VLOOKUP($D1660,Sheet1!$J$5:$L$192,2,TRUE)</f>
        <v>/|\</v>
      </c>
      <c r="R1660" s="40">
        <f>FLOOR(VLOOKUP($D1660,Sheet1!$M$5:$O$192,3,TRUE),1)</f>
        <v>109</v>
      </c>
      <c r="S1660" s="46" t="str">
        <f>VLOOKUP($D1660,Sheet1!$M$5:$O$192,2,TRUE)</f>
        <v>.(/|'</v>
      </c>
      <c r="T1660" s="115">
        <f>IF(ABS(D1660-VLOOKUP($D1660,Sheet1!$M$5:$T$192,8,TRUE))&lt;10^-10,"SoCA",D1660-VLOOKUP($D1660,Sheet1!$M$5:$T$192,8,TRUE))</f>
        <v>7.6399865214376916E-2</v>
      </c>
      <c r="U1660" s="115">
        <f>IF(VLOOKUP($D1660,Sheet1!$M$5:$U$192,9,TRUE)=0,"",IF(ABS(D1660-VLOOKUP($D1660,Sheet1!$M$5:$U$192,9,TRUE))&lt;10^-10,"Alt.",D1660-VLOOKUP($D1660,Sheet1!$M$5:$U$192,9,TRUE)))</f>
        <v>0.10336016041681262</v>
      </c>
      <c r="V1660" s="132">
        <f>$D1660-Sheet1!$M$3*$R1660</f>
        <v>-0.10953557841238393</v>
      </c>
      <c r="Z1660" s="6"/>
      <c r="AA1660" s="61"/>
    </row>
    <row r="1661" spans="1:27" ht="13.5">
      <c r="A1661" t="s">
        <v>1318</v>
      </c>
      <c r="B1661">
        <v>11421</v>
      </c>
      <c r="C1661">
        <v>11776</v>
      </c>
      <c r="D1661" s="13">
        <f t="shared" si="33"/>
        <v>52.992720928313688</v>
      </c>
      <c r="E1661" s="61">
        <v>47</v>
      </c>
      <c r="F1661" s="65">
        <v>74.006678985428152</v>
      </c>
      <c r="G1661" s="6">
        <v>1089</v>
      </c>
      <c r="H1661" s="6">
        <v>1167</v>
      </c>
      <c r="I1661" s="65">
        <v>-8.2629548905498087</v>
      </c>
      <c r="J1661" s="6">
        <f>VLOOKUP($D1661,Sheet1!$A$5:$C$192,3,TRUE)</f>
        <v>10</v>
      </c>
      <c r="K1661" s="42" t="str">
        <f>VLOOKUP($D1661,Sheet1!$A$5:$C$192,2,TRUE)</f>
        <v>/|\</v>
      </c>
      <c r="L1661" s="6">
        <f>FLOOR(VLOOKUP($D1661,Sheet1!$D$5:$F$192,3,TRUE),1)</f>
        <v>22</v>
      </c>
      <c r="M1661" s="42" t="str">
        <f>VLOOKUP($D1661,Sheet1!$D$5:$F$192,2,TRUE)</f>
        <v>/|\</v>
      </c>
      <c r="N1661" s="23">
        <f>FLOOR(VLOOKUP($D1661,Sheet1!$G$5:$I$192,3,TRUE),1)</f>
        <v>27</v>
      </c>
      <c r="O1661" s="42" t="str">
        <f>VLOOKUP($D1661,Sheet1!$G$5:$I$192,2,TRUE)</f>
        <v>/|\</v>
      </c>
      <c r="P1661" s="23">
        <v>1</v>
      </c>
      <c r="Q1661" s="43" t="str">
        <f>VLOOKUP($D1661,Sheet1!$J$5:$L$192,2,TRUE)</f>
        <v>/|\</v>
      </c>
      <c r="R1661" s="23">
        <f>FLOOR(VLOOKUP($D1661,Sheet1!$M$5:$O$192,3,TRUE),1)</f>
        <v>109</v>
      </c>
      <c r="S1661" s="42" t="str">
        <f>VLOOKUP($D1661,Sheet1!$M$5:$O$192,2,TRUE)</f>
        <v>.(/|'</v>
      </c>
      <c r="T1661" s="117">
        <f>IF(ABS(D1661-VLOOKUP($D1661,Sheet1!$M$5:$T$192,8,TRUE))&lt;10^-10,"SoCA",D1661-VLOOKUP($D1661,Sheet1!$M$5:$T$192,8,TRUE))</f>
        <v>-4.4580499076189994E-3</v>
      </c>
      <c r="U1661" s="109">
        <f>IF(VLOOKUP($D1661,Sheet1!$M$5:$U$192,9,TRUE)=0,"",IF(ABS(D1661-VLOOKUP($D1661,Sheet1!$M$5:$U$192,9,TRUE))&lt;10^-10,"Alt.",D1661-VLOOKUP($D1661,Sheet1!$M$5:$U$192,9,TRUE)))</f>
        <v>2.2502245294816703E-2</v>
      </c>
      <c r="V1661" s="132">
        <f>$D1661-Sheet1!$M$3*$R1661</f>
        <v>-0.19039349353437984</v>
      </c>
      <c r="Z1661" s="6"/>
      <c r="AA1661" s="61"/>
    </row>
    <row r="1662" spans="1:27" ht="13.5">
      <c r="A1662" s="6" t="s">
        <v>1873</v>
      </c>
      <c r="B1662">
        <v>1016955</v>
      </c>
      <c r="C1662">
        <v>1048576</v>
      </c>
      <c r="D1662" s="13">
        <f t="shared" si="33"/>
        <v>53.010706747815703</v>
      </c>
      <c r="E1662" s="61">
        <v>31</v>
      </c>
      <c r="F1662" s="65">
        <v>77.682515657549146</v>
      </c>
      <c r="G1662" s="59">
        <v>1709</v>
      </c>
      <c r="H1662" s="63">
        <v>1000078</v>
      </c>
      <c r="I1662" s="65">
        <v>-11.264062342982456</v>
      </c>
      <c r="J1662" s="6">
        <f>VLOOKUP($D1662,Sheet1!$A$5:$C$192,3,TRUE)</f>
        <v>10</v>
      </c>
      <c r="K1662" s="42" t="str">
        <f>VLOOKUP($D1662,Sheet1!$A$5:$C$192,2,TRUE)</f>
        <v>/|\</v>
      </c>
      <c r="L1662" s="6">
        <f>FLOOR(VLOOKUP($D1662,Sheet1!$D$5:$F$192,3,TRUE),1)</f>
        <v>22</v>
      </c>
      <c r="M1662" s="42" t="str">
        <f>VLOOKUP($D1662,Sheet1!$D$5:$F$192,2,TRUE)</f>
        <v>/|\</v>
      </c>
      <c r="N1662" s="23">
        <f>FLOOR(VLOOKUP($D1662,Sheet1!$G$5:$I$192,3,TRUE),1)</f>
        <v>27</v>
      </c>
      <c r="O1662" s="42" t="str">
        <f>VLOOKUP($D1662,Sheet1!$G$5:$I$192,2,TRUE)</f>
        <v>/|\</v>
      </c>
      <c r="P1662" s="23">
        <v>1</v>
      </c>
      <c r="Q1662" s="43" t="str">
        <f>VLOOKUP($D1662,Sheet1!$J$5:$L$192,2,TRUE)</f>
        <v>/|\</v>
      </c>
      <c r="R1662" s="23">
        <f>FLOOR(VLOOKUP($D1662,Sheet1!$M$5:$O$192,3,TRUE),1)</f>
        <v>109</v>
      </c>
      <c r="S1662" s="42" t="str">
        <f>VLOOKUP($D1662,Sheet1!$M$5:$O$192,2,TRUE)</f>
        <v>.(/|'</v>
      </c>
      <c r="T1662" s="117">
        <f>IF(ABS(D1662-VLOOKUP($D1662,Sheet1!$M$5:$T$192,8,TRUE))&lt;10^-10,"SoCA",D1662-VLOOKUP($D1662,Sheet1!$M$5:$T$192,8,TRUE))</f>
        <v>1.3527769594396943E-2</v>
      </c>
      <c r="U1662" s="109">
        <f>IF(VLOOKUP($D1662,Sheet1!$M$5:$U$192,9,TRUE)=0,"",IF(ABS(D1662-VLOOKUP($D1662,Sheet1!$M$5:$U$192,9,TRUE))&lt;10^-10,"Alt.",D1662-VLOOKUP($D1662,Sheet1!$M$5:$U$192,9,TRUE)))</f>
        <v>4.0488064796832646E-2</v>
      </c>
      <c r="V1662" s="132">
        <f>$D1662-Sheet1!$M$3*$R1662</f>
        <v>-0.1724076740323639</v>
      </c>
      <c r="Z1662" s="6"/>
      <c r="AA1662" s="61"/>
    </row>
    <row r="1663" spans="1:27" ht="13.5">
      <c r="A1663" t="s">
        <v>719</v>
      </c>
      <c r="B1663">
        <v>299008</v>
      </c>
      <c r="C1663">
        <v>308367</v>
      </c>
      <c r="D1663" s="13">
        <f t="shared" si="33"/>
        <v>53.357158280243404</v>
      </c>
      <c r="E1663" s="61" t="s">
        <v>1931</v>
      </c>
      <c r="F1663" s="65">
        <v>123.74536342033589</v>
      </c>
      <c r="G1663" s="6">
        <v>606</v>
      </c>
      <c r="H1663" s="6">
        <v>564</v>
      </c>
      <c r="I1663" s="65">
        <v>4.7146053739743188</v>
      </c>
      <c r="J1663" s="6">
        <f>VLOOKUP($D1663,Sheet1!$A$5:$C$192,3,TRUE)</f>
        <v>10</v>
      </c>
      <c r="K1663" s="42" t="str">
        <f>VLOOKUP($D1663,Sheet1!$A$5:$C$192,2,TRUE)</f>
        <v>/|\</v>
      </c>
      <c r="L1663" s="6">
        <f>FLOOR(VLOOKUP($D1663,Sheet1!$D$5:$F$192,3,TRUE),1)</f>
        <v>22</v>
      </c>
      <c r="M1663" s="42" t="str">
        <f>VLOOKUP($D1663,Sheet1!$D$5:$F$192,2,TRUE)</f>
        <v>/|\</v>
      </c>
      <c r="N1663" s="23">
        <f>FLOOR(VLOOKUP($D1663,Sheet1!$G$5:$I$192,3,TRUE),1)</f>
        <v>27</v>
      </c>
      <c r="O1663" s="42" t="str">
        <f>VLOOKUP($D1663,Sheet1!$G$5:$I$192,2,TRUE)</f>
        <v>/|\</v>
      </c>
      <c r="P1663" s="23">
        <v>1</v>
      </c>
      <c r="Q1663" s="43" t="str">
        <f>VLOOKUP($D1663,Sheet1!$J$5:$L$192,2,TRUE)</f>
        <v>/|\</v>
      </c>
      <c r="R1663" s="23">
        <f>FLOOR(VLOOKUP($D1663,Sheet1!$M$5:$O$192,3,TRUE),1)</f>
        <v>109</v>
      </c>
      <c r="S1663" s="42" t="str">
        <f>VLOOKUP($D1663,Sheet1!$M$5:$O$192,2,TRUE)</f>
        <v>/|\</v>
      </c>
      <c r="T1663" s="117">
        <f>IF(ABS(D1663-VLOOKUP($D1663,Sheet1!$M$5:$T$192,8,TRUE))&lt;10^-10,"SoCA",D1663-VLOOKUP($D1663,Sheet1!$M$5:$T$192,8,TRUE))</f>
        <v>8.4215050099281541E-2</v>
      </c>
      <c r="U1663" s="109" t="str">
        <f>IF(VLOOKUP($D1663,Sheet1!$M$5:$U$192,9,TRUE)=0,"",IF(ABS(D1663-VLOOKUP($D1663,Sheet1!$M$5:$U$192,9,TRUE))&lt;10^-10,"Alt.",D1663-VLOOKUP($D1663,Sheet1!$M$5:$U$192,9,TRUE)))</f>
        <v/>
      </c>
      <c r="V1663" s="132">
        <f>$D1663-Sheet1!$M$3*$R1663</f>
        <v>0.17404385839533631</v>
      </c>
    </row>
    <row r="1664" spans="1:27" ht="13.5">
      <c r="A1664" t="s">
        <v>1670</v>
      </c>
      <c r="B1664">
        <v>194643</v>
      </c>
      <c r="C1664">
        <v>200704</v>
      </c>
      <c r="D1664" s="13">
        <f t="shared" si="33"/>
        <v>53.086689720860711</v>
      </c>
      <c r="E1664" s="61" t="s">
        <v>1931</v>
      </c>
      <c r="F1664" s="65">
        <v>141.10409272327567</v>
      </c>
      <c r="G1664" s="6">
        <v>1195</v>
      </c>
      <c r="H1664" s="6">
        <v>1519</v>
      </c>
      <c r="I1664" s="65">
        <v>-10.268740891453879</v>
      </c>
      <c r="J1664" s="6">
        <f>VLOOKUP($D1664,Sheet1!$A$5:$C$192,3,TRUE)</f>
        <v>10</v>
      </c>
      <c r="K1664" s="42" t="str">
        <f>VLOOKUP($D1664,Sheet1!$A$5:$C$192,2,TRUE)</f>
        <v>/|\</v>
      </c>
      <c r="L1664" s="6">
        <f>FLOOR(VLOOKUP($D1664,Sheet1!$D$5:$F$192,3,TRUE),1)</f>
        <v>22</v>
      </c>
      <c r="M1664" s="42" t="str">
        <f>VLOOKUP($D1664,Sheet1!$D$5:$F$192,2,TRUE)</f>
        <v>/|\</v>
      </c>
      <c r="N1664" s="23">
        <f>FLOOR(VLOOKUP($D1664,Sheet1!$G$5:$I$192,3,TRUE),1)</f>
        <v>27</v>
      </c>
      <c r="O1664" s="42" t="str">
        <f>VLOOKUP($D1664,Sheet1!$G$5:$I$192,2,TRUE)</f>
        <v>/|\</v>
      </c>
      <c r="P1664" s="23">
        <v>1</v>
      </c>
      <c r="Q1664" s="43" t="str">
        <f>VLOOKUP($D1664,Sheet1!$J$5:$L$192,2,TRUE)</f>
        <v>/|\</v>
      </c>
      <c r="R1664" s="23">
        <f>FLOOR(VLOOKUP($D1664,Sheet1!$M$5:$O$192,3,TRUE),1)</f>
        <v>109</v>
      </c>
      <c r="S1664" s="42" t="str">
        <f>VLOOKUP($D1664,Sheet1!$M$5:$O$192,2,TRUE)</f>
        <v>.(/|'</v>
      </c>
      <c r="T1664" s="117">
        <f>IF(ABS(D1664-VLOOKUP($D1664,Sheet1!$M$5:$T$192,8,TRUE))&lt;10^-10,"SoCA",D1664-VLOOKUP($D1664,Sheet1!$M$5:$T$192,8,TRUE))</f>
        <v>8.9510742639404839E-2</v>
      </c>
      <c r="U1664" s="109">
        <f>IF(VLOOKUP($D1664,Sheet1!$M$5:$U$192,9,TRUE)=0,"",IF(ABS(D1664-VLOOKUP($D1664,Sheet1!$M$5:$U$192,9,TRUE))&lt;10^-10,"Alt.",D1664-VLOOKUP($D1664,Sheet1!$M$5:$U$192,9,TRUE)))</f>
        <v>0.11647103784184054</v>
      </c>
      <c r="V1664" s="132">
        <f>$D1664-Sheet1!$M$3*$R1664</f>
        <v>-9.6424700987356005E-2</v>
      </c>
    </row>
    <row r="1665" spans="1:22" ht="13.5">
      <c r="A1665" t="s">
        <v>1490</v>
      </c>
      <c r="B1665">
        <v>6356992</v>
      </c>
      <c r="C1665">
        <v>6554439</v>
      </c>
      <c r="D1665" s="13">
        <f t="shared" si="33"/>
        <v>52.953637649448048</v>
      </c>
      <c r="E1665" s="61" t="s">
        <v>1931</v>
      </c>
      <c r="F1665" s="65">
        <v>164.68997488160269</v>
      </c>
      <c r="G1665" s="6">
        <v>1402</v>
      </c>
      <c r="H1665" s="6">
        <v>1339</v>
      </c>
      <c r="I1665" s="65">
        <v>7.7394516093180856</v>
      </c>
      <c r="J1665" s="6">
        <f>VLOOKUP($D1665,Sheet1!$A$5:$C$192,3,TRUE)</f>
        <v>10</v>
      </c>
      <c r="K1665" s="42" t="str">
        <f>VLOOKUP($D1665,Sheet1!$A$5:$C$192,2,TRUE)</f>
        <v>/|\</v>
      </c>
      <c r="L1665" s="6">
        <f>FLOOR(VLOOKUP($D1665,Sheet1!$D$5:$F$192,3,TRUE),1)</f>
        <v>22</v>
      </c>
      <c r="M1665" s="42" t="str">
        <f>VLOOKUP($D1665,Sheet1!$D$5:$F$192,2,TRUE)</f>
        <v>/|\</v>
      </c>
      <c r="N1665" s="23">
        <f>FLOOR(VLOOKUP($D1665,Sheet1!$G$5:$I$192,3,TRUE),1)</f>
        <v>27</v>
      </c>
      <c r="O1665" s="42" t="str">
        <f>VLOOKUP($D1665,Sheet1!$G$5:$I$192,2,TRUE)</f>
        <v>/|\</v>
      </c>
      <c r="P1665" s="23">
        <v>1</v>
      </c>
      <c r="Q1665" s="43" t="str">
        <f>VLOOKUP($D1665,Sheet1!$J$5:$L$192,2,TRUE)</f>
        <v>/|\</v>
      </c>
      <c r="R1665" s="23">
        <f>FLOOR(VLOOKUP($D1665,Sheet1!$M$5:$O$192,3,TRUE),1)</f>
        <v>109</v>
      </c>
      <c r="S1665" s="42" t="str">
        <f>VLOOKUP($D1665,Sheet1!$M$5:$O$192,2,TRUE)</f>
        <v>.(/|'</v>
      </c>
      <c r="T1665" s="117">
        <f>IF(ABS(D1665-VLOOKUP($D1665,Sheet1!$M$5:$T$192,8,TRUE))&lt;10^-10,"SoCA",D1665-VLOOKUP($D1665,Sheet1!$M$5:$T$192,8,TRUE))</f>
        <v>-4.354132877325867E-2</v>
      </c>
      <c r="U1665" s="109">
        <f>IF(VLOOKUP($D1665,Sheet1!$M$5:$U$192,9,TRUE)=0,"",IF(ABS(D1665-VLOOKUP($D1665,Sheet1!$M$5:$U$192,9,TRUE))&lt;10^-10,"Alt.",D1665-VLOOKUP($D1665,Sheet1!$M$5:$U$192,9,TRUE)))</f>
        <v>-1.6581033570822967E-2</v>
      </c>
      <c r="V1665" s="132">
        <f>$D1665-Sheet1!$M$3*$R1665</f>
        <v>-0.22947677240001951</v>
      </c>
    </row>
    <row r="1666" spans="1:22" ht="13.5">
      <c r="A1666" t="s">
        <v>1350</v>
      </c>
      <c r="B1666">
        <v>284931</v>
      </c>
      <c r="C1666">
        <v>293792</v>
      </c>
      <c r="D1666" s="13">
        <f t="shared" si="33"/>
        <v>53.019022441844299</v>
      </c>
      <c r="E1666" s="61" t="s">
        <v>1931</v>
      </c>
      <c r="F1666" s="65">
        <v>19736.318813452635</v>
      </c>
      <c r="G1666" s="6">
        <v>1265</v>
      </c>
      <c r="H1666" s="6">
        <v>1199</v>
      </c>
      <c r="I1666" s="65">
        <v>-6.2645743705595196</v>
      </c>
      <c r="J1666" s="6">
        <f>VLOOKUP($D1666,Sheet1!$A$5:$C$192,3,TRUE)</f>
        <v>10</v>
      </c>
      <c r="K1666" s="42" t="str">
        <f>VLOOKUP($D1666,Sheet1!$A$5:$C$192,2,TRUE)</f>
        <v>/|\</v>
      </c>
      <c r="L1666" s="6">
        <f>FLOOR(VLOOKUP($D1666,Sheet1!$D$5:$F$192,3,TRUE),1)</f>
        <v>22</v>
      </c>
      <c r="M1666" s="42" t="str">
        <f>VLOOKUP($D1666,Sheet1!$D$5:$F$192,2,TRUE)</f>
        <v>/|\</v>
      </c>
      <c r="N1666" s="23">
        <f>FLOOR(VLOOKUP($D1666,Sheet1!$G$5:$I$192,3,TRUE),1)</f>
        <v>27</v>
      </c>
      <c r="O1666" s="42" t="str">
        <f>VLOOKUP($D1666,Sheet1!$G$5:$I$192,2,TRUE)</f>
        <v>/|\</v>
      </c>
      <c r="P1666" s="23">
        <v>1</v>
      </c>
      <c r="Q1666" s="43" t="str">
        <f>VLOOKUP($D1666,Sheet1!$J$5:$L$192,2,TRUE)</f>
        <v>/|\</v>
      </c>
      <c r="R1666" s="23">
        <f>FLOOR(VLOOKUP($D1666,Sheet1!$M$5:$O$192,3,TRUE),1)</f>
        <v>109</v>
      </c>
      <c r="S1666" s="42" t="str">
        <f>VLOOKUP($D1666,Sheet1!$M$5:$O$192,2,TRUE)</f>
        <v>.(/|'</v>
      </c>
      <c r="T1666" s="117">
        <f>IF(ABS(D1666-VLOOKUP($D1666,Sheet1!$M$5:$T$192,8,TRUE))&lt;10^-10,"SoCA",D1666-VLOOKUP($D1666,Sheet1!$M$5:$T$192,8,TRUE))</f>
        <v>2.1843463622992942E-2</v>
      </c>
      <c r="U1666" s="109">
        <f>IF(VLOOKUP($D1666,Sheet1!$M$5:$U$192,9,TRUE)=0,"",IF(ABS(D1666-VLOOKUP($D1666,Sheet1!$M$5:$U$192,9,TRUE))&lt;10^-10,"Alt.",D1666-VLOOKUP($D1666,Sheet1!$M$5:$U$192,9,TRUE)))</f>
        <v>4.8803758825428645E-2</v>
      </c>
      <c r="V1666" s="132">
        <f>$D1666-Sheet1!$M$3*$R1666</f>
        <v>-0.1640919800037679</v>
      </c>
    </row>
    <row r="1667" spans="1:22" ht="13.5">
      <c r="A1667" s="23" t="s">
        <v>727</v>
      </c>
      <c r="B1667" s="23">
        <f>3^5*11*13</f>
        <v>34749</v>
      </c>
      <c r="C1667" s="23">
        <f>2^10*5*7</f>
        <v>35840</v>
      </c>
      <c r="D1667" s="13">
        <f t="shared" ref="D1667:D1698" si="34">1200*LN($C1667/$B1667)/LN(2)</f>
        <v>53.519011872955225</v>
      </c>
      <c r="E1667" s="61">
        <v>13</v>
      </c>
      <c r="F1667" s="65">
        <v>39.478055697193298</v>
      </c>
      <c r="G1667" s="6">
        <v>545</v>
      </c>
      <c r="H1667" s="6">
        <v>572</v>
      </c>
      <c r="I1667" s="65">
        <v>-8.2953605413936913</v>
      </c>
      <c r="J1667" s="6">
        <f>VLOOKUP($D1667,Sheet1!$A$5:$C$192,3,TRUE)</f>
        <v>10</v>
      </c>
      <c r="K1667" s="42" t="str">
        <f>VLOOKUP($D1667,Sheet1!$A$5:$C$192,2,TRUE)</f>
        <v>/|\</v>
      </c>
      <c r="L1667" s="6">
        <f>FLOOR(VLOOKUP($D1667,Sheet1!$D$5:$F$192,3,TRUE),1)</f>
        <v>22</v>
      </c>
      <c r="M1667" s="42" t="str">
        <f>VLOOKUP($D1667,Sheet1!$D$5:$F$192,2,TRUE)</f>
        <v>/|\</v>
      </c>
      <c r="N1667" s="23">
        <f>FLOOR(VLOOKUP($D1667,Sheet1!$G$5:$I$192,3,TRUE),1)</f>
        <v>27</v>
      </c>
      <c r="O1667" s="42" t="str">
        <f>VLOOKUP($D1667,Sheet1!$G$5:$I$192,2,TRUE)</f>
        <v>/|\</v>
      </c>
      <c r="P1667" s="23">
        <v>1</v>
      </c>
      <c r="Q1667" s="43" t="str">
        <f>VLOOKUP($D1667,Sheet1!$J$5:$L$192,2,TRUE)</f>
        <v>/|\'</v>
      </c>
      <c r="R1667" s="23">
        <f>FLOOR(VLOOKUP($D1667,Sheet1!$M$5:$O$192,3,TRUE),1)</f>
        <v>110</v>
      </c>
      <c r="S1667" s="43" t="str">
        <f>VLOOKUP($D1667,Sheet1!$M$5:$O$192,2,TRUE)</f>
        <v>/|\'</v>
      </c>
      <c r="T1667" s="117">
        <f>IF(ABS(D1667-VLOOKUP($D1667,Sheet1!$M$5:$T$192,8,TRUE))&lt;10^-10,"SoCA",D1667-VLOOKUP($D1667,Sheet1!$M$5:$T$192,8,TRUE))</f>
        <v>-0.17664752314372123</v>
      </c>
      <c r="U1667" s="117">
        <f>IF(VLOOKUP($D1667,Sheet1!$M$5:$U$192,9,TRUE)=0,"",IF(ABS(D1667-VLOOKUP($D1667,Sheet1!$M$5:$U$192,9,TRUE))&lt;10^-10,"Alt.",D1667-VLOOKUP($D1667,Sheet1!$M$5:$U$192,9,TRUE)))</f>
        <v>-0.14968722794128553</v>
      </c>
      <c r="V1667" s="132">
        <f>$D1667-Sheet1!$M$3*$R1667</f>
        <v>-0.15202102982723176</v>
      </c>
    </row>
    <row r="1668" spans="1:22" ht="13.5">
      <c r="A1668" s="87" t="s">
        <v>448</v>
      </c>
      <c r="B1668" s="87">
        <f>2^14*11</f>
        <v>180224</v>
      </c>
      <c r="C1668" s="87">
        <f>3^7*5*17</f>
        <v>185895</v>
      </c>
      <c r="D1668" s="13">
        <f t="shared" si="34"/>
        <v>53.636187058197457</v>
      </c>
      <c r="E1668" s="61">
        <v>17</v>
      </c>
      <c r="F1668" s="65">
        <v>40.98440343473365</v>
      </c>
      <c r="G1668" s="6">
        <v>316.10000000000002</v>
      </c>
      <c r="H1668" s="6">
        <v>286.10000000000002</v>
      </c>
      <c r="I1668" s="65">
        <v>3.6974245555585035</v>
      </c>
      <c r="J1668" s="6">
        <f>VLOOKUP($D1668,Sheet1!$A$5:$C$192,3,TRUE)</f>
        <v>10</v>
      </c>
      <c r="K1668" s="42" t="str">
        <f>VLOOKUP($D1668,Sheet1!$A$5:$C$192,2,TRUE)</f>
        <v>/|\</v>
      </c>
      <c r="L1668" s="6">
        <f>FLOOR(VLOOKUP($D1668,Sheet1!$D$5:$F$192,3,TRUE),1)</f>
        <v>22</v>
      </c>
      <c r="M1668" s="42" t="str">
        <f>VLOOKUP($D1668,Sheet1!$D$5:$F$192,2,TRUE)</f>
        <v>/|\</v>
      </c>
      <c r="N1668" s="23">
        <f>FLOOR(VLOOKUP($D1668,Sheet1!$G$5:$I$192,3,TRUE),1)</f>
        <v>27</v>
      </c>
      <c r="O1668" s="42" t="str">
        <f>VLOOKUP($D1668,Sheet1!$G$5:$I$192,2,TRUE)</f>
        <v>/|\</v>
      </c>
      <c r="P1668" s="23">
        <v>1</v>
      </c>
      <c r="Q1668" s="45" t="str">
        <f>VLOOKUP($D1668,Sheet1!$J$5:$L$192,2,TRUE)</f>
        <v>/|\'</v>
      </c>
      <c r="R1668" s="38">
        <f>FLOOR(VLOOKUP($D1668,Sheet1!$M$5:$O$192,3,TRUE),1)</f>
        <v>110</v>
      </c>
      <c r="S1668" s="45" t="str">
        <f>VLOOKUP($D1668,Sheet1!$M$5:$O$192,2,TRUE)</f>
        <v>/|\'</v>
      </c>
      <c r="T1668" s="108">
        <f>IF(ABS(D1668-VLOOKUP($D1668,Sheet1!$M$5:$T$192,8,TRUE))&lt;10^-10,"SoCA",D1668-VLOOKUP($D1668,Sheet1!$M$5:$T$192,8,TRUE))</f>
        <v>-5.9472337901489425E-2</v>
      </c>
      <c r="U1668" s="108">
        <f>IF(VLOOKUP($D1668,Sheet1!$M$5:$U$192,9,TRUE)=0,"",IF(ABS(D1668-VLOOKUP($D1668,Sheet1!$M$5:$U$192,9,TRUE))&lt;10^-10,"Alt.",D1668-VLOOKUP($D1668,Sheet1!$M$5:$U$192,9,TRUE)))</f>
        <v>-3.2512042699053723E-2</v>
      </c>
      <c r="V1668" s="133">
        <f>$D1668-Sheet1!$M$3*$R1668</f>
        <v>-3.4845844584999952E-2</v>
      </c>
    </row>
    <row r="1669" spans="1:22" ht="13.5">
      <c r="A1669" s="23" t="s">
        <v>707</v>
      </c>
      <c r="B1669" s="23">
        <f>3*5*7*13</f>
        <v>1365</v>
      </c>
      <c r="C1669" s="23">
        <f>2^7*11</f>
        <v>1408</v>
      </c>
      <c r="D1669" s="13">
        <f t="shared" si="34"/>
        <v>53.695659396099138</v>
      </c>
      <c r="E1669" s="61">
        <v>13</v>
      </c>
      <c r="F1669" s="65">
        <v>50.618871470424729</v>
      </c>
      <c r="G1669" s="6">
        <v>591</v>
      </c>
      <c r="H1669" s="6">
        <v>552</v>
      </c>
      <c r="I1669" s="65">
        <v>-4.3062373729556267</v>
      </c>
      <c r="J1669" s="6">
        <f>VLOOKUP($D1669,Sheet1!$A$5:$C$192,3,TRUE)</f>
        <v>10</v>
      </c>
      <c r="K1669" s="42" t="str">
        <f>VLOOKUP($D1669,Sheet1!$A$5:$C$192,2,TRUE)</f>
        <v>/|\</v>
      </c>
      <c r="L1669" s="6">
        <f>FLOOR(VLOOKUP($D1669,Sheet1!$D$5:$F$192,3,TRUE),1)</f>
        <v>22</v>
      </c>
      <c r="M1669" s="42" t="str">
        <f>VLOOKUP($D1669,Sheet1!$D$5:$F$192,2,TRUE)</f>
        <v>/|\</v>
      </c>
      <c r="N1669" s="23">
        <f>FLOOR(VLOOKUP($D1669,Sheet1!$G$5:$I$192,3,TRUE),1)</f>
        <v>27</v>
      </c>
      <c r="O1669" s="42" t="str">
        <f>VLOOKUP($D1669,Sheet1!$G$5:$I$192,2,TRUE)</f>
        <v>/|\</v>
      </c>
      <c r="P1669" s="23">
        <v>1</v>
      </c>
      <c r="Q1669" s="43" t="str">
        <f>VLOOKUP($D1669,Sheet1!$J$5:$L$192,2,TRUE)</f>
        <v>/|\'</v>
      </c>
      <c r="R1669" s="23">
        <f>FLOOR(VLOOKUP($D1669,Sheet1!$M$5:$O$192,3,TRUE),1)</f>
        <v>110</v>
      </c>
      <c r="S1669" s="43" t="str">
        <f>VLOOKUP($D1669,Sheet1!$M$5:$O$192,2,TRUE)</f>
        <v>/|\'</v>
      </c>
      <c r="T1669" s="124" t="str">
        <f>IF(ABS(D1669-VLOOKUP($D1669,Sheet1!$M$5:$T$192,8,TRUE))&lt;10^-10,"SoCA",D1669-VLOOKUP($D1669,Sheet1!$M$5:$T$192,8,TRUE))</f>
        <v>SoCA</v>
      </c>
      <c r="U1669" s="117">
        <f>IF(VLOOKUP($D1669,Sheet1!$M$5:$U$192,9,TRUE)=0,"",IF(ABS(D1669-VLOOKUP($D1669,Sheet1!$M$5:$U$192,9,TRUE))&lt;10^-10,"Alt.",D1669-VLOOKUP($D1669,Sheet1!$M$5:$U$192,9,TRUE)))</f>
        <v>2.6960295202627549E-2</v>
      </c>
      <c r="V1669" s="132">
        <f>$D1669-Sheet1!$M$3*$R1669</f>
        <v>2.4626493316681319E-2</v>
      </c>
    </row>
    <row r="1670" spans="1:22" ht="13.5">
      <c r="A1670" s="21" t="s">
        <v>405</v>
      </c>
      <c r="B1670" s="21">
        <f>3^6</f>
        <v>729</v>
      </c>
      <c r="C1670" s="21">
        <f>2^4*47</f>
        <v>752</v>
      </c>
      <c r="D1670" s="13">
        <f t="shared" si="34"/>
        <v>53.776616820840168</v>
      </c>
      <c r="E1670" s="61">
        <v>47</v>
      </c>
      <c r="F1670" s="65">
        <v>63.91694989679953</v>
      </c>
      <c r="G1670" s="6">
        <v>174</v>
      </c>
      <c r="H1670" s="6">
        <v>242</v>
      </c>
      <c r="I1670" s="65">
        <v>-9.3112222165408873</v>
      </c>
      <c r="J1670" s="6">
        <f>VLOOKUP($D1670,Sheet1!$A$5:$C$192,3,TRUE)</f>
        <v>10</v>
      </c>
      <c r="K1670" s="42" t="str">
        <f>VLOOKUP($D1670,Sheet1!$A$5:$C$192,2,TRUE)</f>
        <v>/|\</v>
      </c>
      <c r="L1670" s="6">
        <f>FLOOR(VLOOKUP($D1670,Sheet1!$D$5:$F$192,3,TRUE),1)</f>
        <v>22</v>
      </c>
      <c r="M1670" s="42" t="str">
        <f>VLOOKUP($D1670,Sheet1!$D$5:$F$192,2,TRUE)</f>
        <v>/|\</v>
      </c>
      <c r="N1670" s="23">
        <f>FLOOR(VLOOKUP($D1670,Sheet1!$G$5:$I$192,3,TRUE),1)</f>
        <v>27</v>
      </c>
      <c r="O1670" s="42" t="str">
        <f>VLOOKUP($D1670,Sheet1!$G$5:$I$192,2,TRUE)</f>
        <v>/|\</v>
      </c>
      <c r="P1670" s="23">
        <v>1</v>
      </c>
      <c r="Q1670" s="43" t="str">
        <f>VLOOKUP($D1670,Sheet1!$J$5:$L$192,2,TRUE)</f>
        <v>/|\'</v>
      </c>
      <c r="R1670" s="23">
        <f>FLOOR(VLOOKUP($D1670,Sheet1!$M$5:$O$192,3,TRUE),1)</f>
        <v>110</v>
      </c>
      <c r="S1670" s="43" t="str">
        <f>VLOOKUP($D1670,Sheet1!$M$5:$O$192,2,TRUE)</f>
        <v>/|\'</v>
      </c>
      <c r="T1670" s="117">
        <f>IF(ABS(D1670-VLOOKUP($D1670,Sheet1!$M$5:$T$192,8,TRUE))&lt;10^-10,"SoCA",D1670-VLOOKUP($D1670,Sheet1!$M$5:$T$192,8,TRUE))</f>
        <v>8.0957424741221473E-2</v>
      </c>
      <c r="U1670" s="109">
        <f>IF(VLOOKUP($D1670,Sheet1!$M$5:$U$192,9,TRUE)=0,"",IF(ABS(D1670-VLOOKUP($D1670,Sheet1!$M$5:$U$192,9,TRUE))&lt;10^-10,"Alt.",D1670-VLOOKUP($D1670,Sheet1!$M$5:$U$192,9,TRUE)))</f>
        <v>0.10791771994365718</v>
      </c>
      <c r="V1670" s="132">
        <f>$D1670-Sheet1!$M$3*$R1670</f>
        <v>0.10558391805771095</v>
      </c>
    </row>
    <row r="1671" spans="1:22" ht="13.5">
      <c r="A1671" s="6" t="s">
        <v>1810</v>
      </c>
      <c r="B1671" s="6">
        <f>3^8*23</f>
        <v>150903</v>
      </c>
      <c r="C1671" s="6">
        <f>2^13*19</f>
        <v>155648</v>
      </c>
      <c r="D1671" s="13">
        <f t="shared" si="34"/>
        <v>53.598661940787665</v>
      </c>
      <c r="E1671" s="61">
        <v>23</v>
      </c>
      <c r="F1671" s="65">
        <v>71.035292780620665</v>
      </c>
      <c r="G1671" s="59">
        <v>1099</v>
      </c>
      <c r="H1671" s="63">
        <v>1000015</v>
      </c>
      <c r="I1671" s="65">
        <v>-11.30026488625113</v>
      </c>
      <c r="J1671" s="6">
        <f>VLOOKUP($D1671,Sheet1!$A$5:$C$192,3,TRUE)</f>
        <v>10</v>
      </c>
      <c r="K1671" s="42" t="str">
        <f>VLOOKUP($D1671,Sheet1!$A$5:$C$192,2,TRUE)</f>
        <v>/|\</v>
      </c>
      <c r="L1671" s="6">
        <f>FLOOR(VLOOKUP($D1671,Sheet1!$D$5:$F$192,3,TRUE),1)</f>
        <v>22</v>
      </c>
      <c r="M1671" s="42" t="str">
        <f>VLOOKUP($D1671,Sheet1!$D$5:$F$192,2,TRUE)</f>
        <v>/|\</v>
      </c>
      <c r="N1671" s="23">
        <f>FLOOR(VLOOKUP($D1671,Sheet1!$G$5:$I$192,3,TRUE),1)</f>
        <v>27</v>
      </c>
      <c r="O1671" s="42" t="str">
        <f>VLOOKUP($D1671,Sheet1!$G$5:$I$192,2,TRUE)</f>
        <v>/|\</v>
      </c>
      <c r="P1671" s="23">
        <v>1</v>
      </c>
      <c r="Q1671" s="43" t="str">
        <f>VLOOKUP($D1671,Sheet1!$J$5:$L$192,2,TRUE)</f>
        <v>/|\'</v>
      </c>
      <c r="R1671" s="23">
        <f>FLOOR(VLOOKUP($D1671,Sheet1!$M$5:$O$192,3,TRUE),1)</f>
        <v>110</v>
      </c>
      <c r="S1671" s="42" t="str">
        <f>VLOOKUP($D1671,Sheet1!$M$5:$O$192,2,TRUE)</f>
        <v>/|\'</v>
      </c>
      <c r="T1671" s="117">
        <f>IF(ABS(D1671-VLOOKUP($D1671,Sheet1!$M$5:$T$192,8,TRUE))&lt;10^-10,"SoCA",D1671-VLOOKUP($D1671,Sheet1!$M$5:$T$192,8,TRUE))</f>
        <v>-9.699745531128201E-2</v>
      </c>
      <c r="U1671" s="109">
        <f>IF(VLOOKUP($D1671,Sheet1!$M$5:$U$192,9,TRUE)=0,"",IF(ABS(D1671-VLOOKUP($D1671,Sheet1!$M$5:$U$192,9,TRUE))&lt;10^-10,"Alt.",D1671-VLOOKUP($D1671,Sheet1!$M$5:$U$192,9,TRUE)))</f>
        <v>-7.0037160108846308E-2</v>
      </c>
      <c r="V1671" s="132">
        <f>$D1671-Sheet1!$M$3*$R1671</f>
        <v>-7.2370961994792538E-2</v>
      </c>
    </row>
    <row r="1672" spans="1:22" ht="13.5">
      <c r="A1672" s="6" t="s">
        <v>566</v>
      </c>
      <c r="B1672" s="6">
        <f>2^18*19</f>
        <v>4980736</v>
      </c>
      <c r="C1672" s="6">
        <f>3^11*29</f>
        <v>5137263</v>
      </c>
      <c r="D1672" s="13">
        <f t="shared" si="34"/>
        <v>53.569187540045426</v>
      </c>
      <c r="E1672" s="61">
        <v>29</v>
      </c>
      <c r="F1672" s="65">
        <v>72.379026377708726</v>
      </c>
      <c r="G1672" s="23">
        <v>383.1</v>
      </c>
      <c r="H1672" s="6">
        <v>410.1</v>
      </c>
      <c r="I1672" s="65">
        <v>7.7015499599836588</v>
      </c>
      <c r="J1672" s="6">
        <f>VLOOKUP($D1672,Sheet1!$A$5:$C$192,3,TRUE)</f>
        <v>10</v>
      </c>
      <c r="K1672" s="42" t="str">
        <f>VLOOKUP($D1672,Sheet1!$A$5:$C$192,2,TRUE)</f>
        <v>/|\</v>
      </c>
      <c r="L1672" s="6">
        <f>FLOOR(VLOOKUP($D1672,Sheet1!$D$5:$F$192,3,TRUE),1)</f>
        <v>22</v>
      </c>
      <c r="M1672" s="42" t="str">
        <f>VLOOKUP($D1672,Sheet1!$D$5:$F$192,2,TRUE)</f>
        <v>/|\</v>
      </c>
      <c r="N1672" s="23">
        <f>FLOOR(VLOOKUP($D1672,Sheet1!$G$5:$I$192,3,TRUE),1)</f>
        <v>27</v>
      </c>
      <c r="O1672" s="42" t="str">
        <f>VLOOKUP($D1672,Sheet1!$G$5:$I$192,2,TRUE)</f>
        <v>/|\</v>
      </c>
      <c r="P1672" s="23">
        <v>1</v>
      </c>
      <c r="Q1672" s="43" t="str">
        <f>VLOOKUP($D1672,Sheet1!$J$5:$L$192,2,TRUE)</f>
        <v>/|\'</v>
      </c>
      <c r="R1672" s="23">
        <f>FLOOR(VLOOKUP($D1672,Sheet1!$M$5:$O$192,3,TRUE),1)</f>
        <v>110</v>
      </c>
      <c r="S1672" s="42" t="str">
        <f>VLOOKUP($D1672,Sheet1!$M$5:$O$192,2,TRUE)</f>
        <v>/|\'</v>
      </c>
      <c r="T1672" s="117">
        <f>IF(ABS(D1672-VLOOKUP($D1672,Sheet1!$M$5:$T$192,8,TRUE))&lt;10^-10,"SoCA",D1672-VLOOKUP($D1672,Sheet1!$M$5:$T$192,8,TRUE))</f>
        <v>-0.12647185605352007</v>
      </c>
      <c r="U1672" s="109">
        <f>IF(VLOOKUP($D1672,Sheet1!$M$5:$U$192,9,TRUE)=0,"",IF(ABS(D1672-VLOOKUP($D1672,Sheet1!$M$5:$U$192,9,TRUE))&lt;10^-10,"Alt.",D1672-VLOOKUP($D1672,Sheet1!$M$5:$U$192,9,TRUE)))</f>
        <v>-9.9511560851084369E-2</v>
      </c>
      <c r="V1672" s="132">
        <f>$D1672-Sheet1!$M$3*$R1672</f>
        <v>-0.1018453627370306</v>
      </c>
    </row>
    <row r="1673" spans="1:22" ht="13.5">
      <c r="A1673" s="23" t="s">
        <v>2064</v>
      </c>
      <c r="B1673" s="23">
        <f>5^3*7^2</f>
        <v>6125</v>
      </c>
      <c r="C1673" s="23">
        <f>2*3^5*13</f>
        <v>6318</v>
      </c>
      <c r="D1673" s="13">
        <f t="shared" si="34"/>
        <v>53.709711563493336</v>
      </c>
      <c r="E1673" s="22">
        <v>13</v>
      </c>
      <c r="F1673" s="65">
        <v>75.968271585808679</v>
      </c>
      <c r="G1673" s="18">
        <v>2000000</v>
      </c>
      <c r="H1673" s="18">
        <v>2000000</v>
      </c>
      <c r="I1673" s="65">
        <v>1.6928973839030799</v>
      </c>
      <c r="J1673" s="6">
        <f>VLOOKUP($D1673,Sheet1!$A$5:$C$192,3,TRUE)</f>
        <v>10</v>
      </c>
      <c r="K1673" s="42" t="str">
        <f>VLOOKUP($D1673,Sheet1!$A$5:$C$192,2,TRUE)</f>
        <v>/|\</v>
      </c>
      <c r="L1673" s="6">
        <f>FLOOR(VLOOKUP($D1673,Sheet1!$D$5:$F$192,3,TRUE),1)</f>
        <v>22</v>
      </c>
      <c r="M1673" s="42" t="str">
        <f>VLOOKUP($D1673,Sheet1!$D$5:$F$192,2,TRUE)</f>
        <v>/|\</v>
      </c>
      <c r="N1673" s="23">
        <f>FLOOR(VLOOKUP($D1673,Sheet1!$G$5:$I$192,3,TRUE),1)</f>
        <v>27</v>
      </c>
      <c r="O1673" s="42" t="str">
        <f>VLOOKUP($D1673,Sheet1!$G$5:$I$192,2,TRUE)</f>
        <v>/|\</v>
      </c>
      <c r="P1673" s="23">
        <v>1</v>
      </c>
      <c r="Q1673" s="43" t="str">
        <f>VLOOKUP($D1673,Sheet1!$J$5:$L$192,2,TRUE)</f>
        <v>/|\'</v>
      </c>
      <c r="R1673" s="23">
        <f>FLOOR(VLOOKUP($D1673,Sheet1!$M$5:$O$192,3,TRUE),1)</f>
        <v>110</v>
      </c>
      <c r="S1673" s="43" t="str">
        <f>VLOOKUP($D1673,Sheet1!$M$5:$O$192,2,TRUE)</f>
        <v>/|\'</v>
      </c>
      <c r="T1673" s="117">
        <f>IF(ABS(D1673-VLOOKUP($D1673,Sheet1!$M$5:$T$192,8,TRUE))&lt;10^-10,"SoCA",D1673-VLOOKUP($D1673,Sheet1!$M$5:$T$192,8,TRUE))</f>
        <v>1.4052167394389414E-2</v>
      </c>
      <c r="U1673" s="117">
        <f>IF(VLOOKUP($D1673,Sheet1!$M$5:$U$192,9,TRUE)=0,"",IF(ABS(D1673-VLOOKUP($D1673,Sheet1!$M$5:$U$192,9,TRUE))&lt;10^-10,"Alt.",D1673-VLOOKUP($D1673,Sheet1!$M$5:$U$192,9,TRUE)))</f>
        <v>4.1012462596825117E-2</v>
      </c>
      <c r="V1673" s="132">
        <f>$D1673-Sheet1!$M$3*$R1673</f>
        <v>3.8678660710878887E-2</v>
      </c>
    </row>
    <row r="1674" spans="1:22" ht="13.5">
      <c r="A1674" t="s">
        <v>587</v>
      </c>
      <c r="B1674">
        <v>159</v>
      </c>
      <c r="C1674">
        <v>164</v>
      </c>
      <c r="D1674" s="13">
        <f t="shared" si="34"/>
        <v>53.602859200473986</v>
      </c>
      <c r="E1674" s="61" t="s">
        <v>1931</v>
      </c>
      <c r="F1674" s="65">
        <v>94.273648293826568</v>
      </c>
      <c r="G1674" s="6">
        <v>445</v>
      </c>
      <c r="H1674" s="6">
        <v>432</v>
      </c>
      <c r="I1674" s="65">
        <v>-4.300523326821466</v>
      </c>
      <c r="J1674" s="6">
        <f>VLOOKUP($D1674,Sheet1!$A$5:$C$192,3,TRUE)</f>
        <v>10</v>
      </c>
      <c r="K1674" s="42" t="str">
        <f>VLOOKUP($D1674,Sheet1!$A$5:$C$192,2,TRUE)</f>
        <v>/|\</v>
      </c>
      <c r="L1674" s="6">
        <f>FLOOR(VLOOKUP($D1674,Sheet1!$D$5:$F$192,3,TRUE),1)</f>
        <v>22</v>
      </c>
      <c r="M1674" s="42" t="str">
        <f>VLOOKUP($D1674,Sheet1!$D$5:$F$192,2,TRUE)</f>
        <v>/|\</v>
      </c>
      <c r="N1674" s="23">
        <f>FLOOR(VLOOKUP($D1674,Sheet1!$G$5:$I$192,3,TRUE),1)</f>
        <v>27</v>
      </c>
      <c r="O1674" s="42" t="str">
        <f>VLOOKUP($D1674,Sheet1!$G$5:$I$192,2,TRUE)</f>
        <v>/|\</v>
      </c>
      <c r="P1674" s="23">
        <v>1</v>
      </c>
      <c r="Q1674" s="43" t="str">
        <f>VLOOKUP($D1674,Sheet1!$J$5:$L$192,2,TRUE)</f>
        <v>/|\'</v>
      </c>
      <c r="R1674" s="23">
        <f>FLOOR(VLOOKUP($D1674,Sheet1!$M$5:$O$192,3,TRUE),1)</f>
        <v>110</v>
      </c>
      <c r="S1674" s="42" t="str">
        <f>VLOOKUP($D1674,Sheet1!$M$5:$O$192,2,TRUE)</f>
        <v>/|\'</v>
      </c>
      <c r="T1674" s="117">
        <f>IF(ABS(D1674-VLOOKUP($D1674,Sheet1!$M$5:$T$192,8,TRUE))&lt;10^-10,"SoCA",D1674-VLOOKUP($D1674,Sheet1!$M$5:$T$192,8,TRUE))</f>
        <v>-9.2800195624960224E-2</v>
      </c>
      <c r="U1674" s="109">
        <f>IF(VLOOKUP($D1674,Sheet1!$M$5:$U$192,9,TRUE)=0,"",IF(ABS(D1674-VLOOKUP($D1674,Sheet1!$M$5:$U$192,9,TRUE))&lt;10^-10,"Alt.",D1674-VLOOKUP($D1674,Sheet1!$M$5:$U$192,9,TRUE)))</f>
        <v>-6.5839900422524522E-2</v>
      </c>
      <c r="V1674" s="132">
        <f>$D1674-Sheet1!$M$3*$R1674</f>
        <v>-6.8173702308470752E-2</v>
      </c>
    </row>
    <row r="1675" spans="1:22" ht="13.5">
      <c r="A1675" t="s">
        <v>649</v>
      </c>
      <c r="B1675">
        <v>50176</v>
      </c>
      <c r="C1675">
        <v>51759</v>
      </c>
      <c r="D1675" s="13">
        <f t="shared" si="34"/>
        <v>53.774735659693015</v>
      </c>
      <c r="E1675" s="61" t="s">
        <v>1931</v>
      </c>
      <c r="F1675" s="65">
        <v>102.86900973633784</v>
      </c>
      <c r="G1675" s="6">
        <v>543</v>
      </c>
      <c r="H1675" s="6">
        <v>494</v>
      </c>
      <c r="I1675" s="65">
        <v>2.6888936134043857</v>
      </c>
      <c r="J1675" s="6">
        <f>VLOOKUP($D1675,Sheet1!$A$5:$C$192,3,TRUE)</f>
        <v>10</v>
      </c>
      <c r="K1675" s="42" t="str">
        <f>VLOOKUP($D1675,Sheet1!$A$5:$C$192,2,TRUE)</f>
        <v>/|\</v>
      </c>
      <c r="L1675" s="6">
        <f>FLOOR(VLOOKUP($D1675,Sheet1!$D$5:$F$192,3,TRUE),1)</f>
        <v>22</v>
      </c>
      <c r="M1675" s="42" t="str">
        <f>VLOOKUP($D1675,Sheet1!$D$5:$F$192,2,TRUE)</f>
        <v>/|\</v>
      </c>
      <c r="N1675" s="23">
        <f>FLOOR(VLOOKUP($D1675,Sheet1!$G$5:$I$192,3,TRUE),1)</f>
        <v>27</v>
      </c>
      <c r="O1675" s="42" t="str">
        <f>VLOOKUP($D1675,Sheet1!$G$5:$I$192,2,TRUE)</f>
        <v>/|\</v>
      </c>
      <c r="P1675" s="23">
        <v>1</v>
      </c>
      <c r="Q1675" s="43" t="str">
        <f>VLOOKUP($D1675,Sheet1!$J$5:$L$192,2,TRUE)</f>
        <v>/|\'</v>
      </c>
      <c r="R1675" s="23">
        <f>FLOOR(VLOOKUP($D1675,Sheet1!$M$5:$O$192,3,TRUE),1)</f>
        <v>110</v>
      </c>
      <c r="S1675" s="42" t="str">
        <f>VLOOKUP($D1675,Sheet1!$M$5:$O$192,2,TRUE)</f>
        <v>/|\'</v>
      </c>
      <c r="T1675" s="117">
        <f>IF(ABS(D1675-VLOOKUP($D1675,Sheet1!$M$5:$T$192,8,TRUE))&lt;10^-10,"SoCA",D1675-VLOOKUP($D1675,Sheet1!$M$5:$T$192,8,TRUE))</f>
        <v>7.9076263594068052E-2</v>
      </c>
      <c r="U1675" s="109">
        <f>IF(VLOOKUP($D1675,Sheet1!$M$5:$U$192,9,TRUE)=0,"",IF(ABS(D1675-VLOOKUP($D1675,Sheet1!$M$5:$U$192,9,TRUE))&lt;10^-10,"Alt.",D1675-VLOOKUP($D1675,Sheet1!$M$5:$U$192,9,TRUE)))</f>
        <v>0.10603655879650375</v>
      </c>
      <c r="V1675" s="132">
        <f>$D1675-Sheet1!$M$3*$R1675</f>
        <v>0.10370275691055753</v>
      </c>
    </row>
    <row r="1676" spans="1:22" ht="13.5">
      <c r="A1676" t="s">
        <v>1293</v>
      </c>
      <c r="B1676">
        <v>1507328</v>
      </c>
      <c r="C1676">
        <v>1554957</v>
      </c>
      <c r="D1676" s="13">
        <f t="shared" si="34"/>
        <v>53.857558332594969</v>
      </c>
      <c r="E1676" s="61" t="s">
        <v>1931</v>
      </c>
      <c r="F1676" s="65">
        <v>109.22758689403825</v>
      </c>
      <c r="G1676" s="6">
        <v>1200</v>
      </c>
      <c r="H1676" s="6">
        <v>1142</v>
      </c>
      <c r="I1676" s="65">
        <v>5.683793919694387</v>
      </c>
      <c r="J1676" s="6">
        <f>VLOOKUP($D1676,Sheet1!$A$5:$C$192,3,TRUE)</f>
        <v>10</v>
      </c>
      <c r="K1676" s="42" t="str">
        <f>VLOOKUP($D1676,Sheet1!$A$5:$C$192,2,TRUE)</f>
        <v>/|\</v>
      </c>
      <c r="L1676" s="6">
        <f>FLOOR(VLOOKUP($D1676,Sheet1!$D$5:$F$192,3,TRUE),1)</f>
        <v>22</v>
      </c>
      <c r="M1676" s="42" t="str">
        <f>VLOOKUP($D1676,Sheet1!$D$5:$F$192,2,TRUE)</f>
        <v>/|\</v>
      </c>
      <c r="N1676" s="23">
        <f>FLOOR(VLOOKUP($D1676,Sheet1!$G$5:$I$192,3,TRUE),1)</f>
        <v>27</v>
      </c>
      <c r="O1676" s="42" t="str">
        <f>VLOOKUP($D1676,Sheet1!$G$5:$I$192,2,TRUE)</f>
        <v>/|\</v>
      </c>
      <c r="P1676" s="23">
        <v>1</v>
      </c>
      <c r="Q1676" s="43" t="str">
        <f>VLOOKUP($D1676,Sheet1!$J$5:$L$192,2,TRUE)</f>
        <v>/|\'</v>
      </c>
      <c r="R1676" s="23">
        <f>FLOOR(VLOOKUP($D1676,Sheet1!$M$5:$O$192,3,TRUE),1)</f>
        <v>110</v>
      </c>
      <c r="S1676" s="42" t="str">
        <f>VLOOKUP($D1676,Sheet1!$M$5:$O$192,2,TRUE)</f>
        <v>/|\'</v>
      </c>
      <c r="T1676" s="117">
        <f>IF(ABS(D1676-VLOOKUP($D1676,Sheet1!$M$5:$T$192,8,TRUE))&lt;10^-10,"SoCA",D1676-VLOOKUP($D1676,Sheet1!$M$5:$T$192,8,TRUE))</f>
        <v>0.16189893649602283</v>
      </c>
      <c r="U1676" s="109">
        <f>IF(VLOOKUP($D1676,Sheet1!$M$5:$U$192,9,TRUE)=0,"",IF(ABS(D1676-VLOOKUP($D1676,Sheet1!$M$5:$U$192,9,TRUE))&lt;10^-10,"Alt.",D1676-VLOOKUP($D1676,Sheet1!$M$5:$U$192,9,TRUE)))</f>
        <v>0.18885923169845853</v>
      </c>
      <c r="V1676" s="132">
        <f>$D1676-Sheet1!$M$3*$R1676</f>
        <v>0.1865254298125123</v>
      </c>
    </row>
    <row r="1677" spans="1:22" ht="13.5">
      <c r="A1677" t="s">
        <v>1387</v>
      </c>
      <c r="B1677">
        <v>17179869184</v>
      </c>
      <c r="C1677">
        <v>17722081125</v>
      </c>
      <c r="D1677" s="13">
        <f t="shared" si="34"/>
        <v>53.794776124878346</v>
      </c>
      <c r="E1677" s="61">
        <v>7</v>
      </c>
      <c r="F1677" s="65">
        <v>115.05073336995326</v>
      </c>
      <c r="G1677" s="6">
        <v>1299</v>
      </c>
      <c r="H1677" s="6">
        <v>1236</v>
      </c>
      <c r="I1677" s="65">
        <v>6.6876596489515343</v>
      </c>
      <c r="J1677" s="6">
        <f>VLOOKUP($D1677,Sheet1!$A$5:$C$192,3,TRUE)</f>
        <v>10</v>
      </c>
      <c r="K1677" s="42" t="str">
        <f>VLOOKUP($D1677,Sheet1!$A$5:$C$192,2,TRUE)</f>
        <v>/|\</v>
      </c>
      <c r="L1677" s="6">
        <f>FLOOR(VLOOKUP($D1677,Sheet1!$D$5:$F$192,3,TRUE),1)</f>
        <v>22</v>
      </c>
      <c r="M1677" s="42" t="str">
        <f>VLOOKUP($D1677,Sheet1!$D$5:$F$192,2,TRUE)</f>
        <v>/|\</v>
      </c>
      <c r="N1677" s="23">
        <f>FLOOR(VLOOKUP($D1677,Sheet1!$G$5:$I$192,3,TRUE),1)</f>
        <v>27</v>
      </c>
      <c r="O1677" s="42" t="str">
        <f>VLOOKUP($D1677,Sheet1!$G$5:$I$192,2,TRUE)</f>
        <v>/|\</v>
      </c>
      <c r="P1677" s="23">
        <v>1</v>
      </c>
      <c r="Q1677" s="43" t="str">
        <f>VLOOKUP($D1677,Sheet1!$J$5:$L$192,2,TRUE)</f>
        <v>/|\'</v>
      </c>
      <c r="R1677" s="23">
        <f>FLOOR(VLOOKUP($D1677,Sheet1!$M$5:$O$192,3,TRUE),1)</f>
        <v>110</v>
      </c>
      <c r="S1677" s="42" t="str">
        <f>VLOOKUP($D1677,Sheet1!$M$5:$O$192,2,TRUE)</f>
        <v>/|\'</v>
      </c>
      <c r="T1677" s="117">
        <f>IF(ABS(D1677-VLOOKUP($D1677,Sheet1!$M$5:$T$192,8,TRUE))&lt;10^-10,"SoCA",D1677-VLOOKUP($D1677,Sheet1!$M$5:$T$192,8,TRUE))</f>
        <v>9.9116728779399921E-2</v>
      </c>
      <c r="U1677" s="109">
        <f>IF(VLOOKUP($D1677,Sheet1!$M$5:$U$192,9,TRUE)=0,"",IF(ABS(D1677-VLOOKUP($D1677,Sheet1!$M$5:$U$192,9,TRUE))&lt;10^-10,"Alt.",D1677-VLOOKUP($D1677,Sheet1!$M$5:$U$192,9,TRUE)))</f>
        <v>0.12607702398183562</v>
      </c>
      <c r="V1677" s="132">
        <f>$D1677-Sheet1!$M$3*$R1677</f>
        <v>0.12374322209588939</v>
      </c>
    </row>
    <row r="1678" spans="1:22" ht="13.5">
      <c r="A1678" t="s">
        <v>1389</v>
      </c>
      <c r="B1678">
        <v>1073741824</v>
      </c>
      <c r="C1678">
        <v>1107463995</v>
      </c>
      <c r="D1678" s="13">
        <f t="shared" si="34"/>
        <v>53.535179712472662</v>
      </c>
      <c r="E1678" s="61">
        <v>31</v>
      </c>
      <c r="F1678" s="65">
        <v>117.1593204912798</v>
      </c>
      <c r="G1678" s="6">
        <v>1302</v>
      </c>
      <c r="H1678" s="6">
        <v>1238</v>
      </c>
      <c r="I1678" s="65">
        <v>6.7036439458245747</v>
      </c>
      <c r="J1678" s="6">
        <f>VLOOKUP($D1678,Sheet1!$A$5:$C$192,3,TRUE)</f>
        <v>10</v>
      </c>
      <c r="K1678" s="42" t="str">
        <f>VLOOKUP($D1678,Sheet1!$A$5:$C$192,2,TRUE)</f>
        <v>/|\</v>
      </c>
      <c r="L1678" s="6">
        <f>FLOOR(VLOOKUP($D1678,Sheet1!$D$5:$F$192,3,TRUE),1)</f>
        <v>22</v>
      </c>
      <c r="M1678" s="42" t="str">
        <f>VLOOKUP($D1678,Sheet1!$D$5:$F$192,2,TRUE)</f>
        <v>/|\</v>
      </c>
      <c r="N1678" s="23">
        <f>FLOOR(VLOOKUP($D1678,Sheet1!$G$5:$I$192,3,TRUE),1)</f>
        <v>27</v>
      </c>
      <c r="O1678" s="42" t="str">
        <f>VLOOKUP($D1678,Sheet1!$G$5:$I$192,2,TRUE)</f>
        <v>/|\</v>
      </c>
      <c r="P1678" s="23">
        <v>1</v>
      </c>
      <c r="Q1678" s="43" t="str">
        <f>VLOOKUP($D1678,Sheet1!$J$5:$L$192,2,TRUE)</f>
        <v>/|\'</v>
      </c>
      <c r="R1678" s="23">
        <f>FLOOR(VLOOKUP($D1678,Sheet1!$M$5:$O$192,3,TRUE),1)</f>
        <v>110</v>
      </c>
      <c r="S1678" s="42" t="str">
        <f>VLOOKUP($D1678,Sheet1!$M$5:$O$192,2,TRUE)</f>
        <v>/|\'</v>
      </c>
      <c r="T1678" s="117">
        <f>IF(ABS(D1678-VLOOKUP($D1678,Sheet1!$M$5:$T$192,8,TRUE))&lt;10^-10,"SoCA",D1678-VLOOKUP($D1678,Sheet1!$M$5:$T$192,8,TRUE))</f>
        <v>-0.16047968362628495</v>
      </c>
      <c r="U1678" s="109">
        <f>IF(VLOOKUP($D1678,Sheet1!$M$5:$U$192,9,TRUE)=0,"",IF(ABS(D1678-VLOOKUP($D1678,Sheet1!$M$5:$U$192,9,TRUE))&lt;10^-10,"Alt.",D1678-VLOOKUP($D1678,Sheet1!$M$5:$U$192,9,TRUE)))</f>
        <v>-0.13351938842384925</v>
      </c>
      <c r="V1678" s="132">
        <f>$D1678-Sheet1!$M$3*$R1678</f>
        <v>-0.13585319030979548</v>
      </c>
    </row>
    <row r="1679" spans="1:22" ht="13.5">
      <c r="A1679" t="s">
        <v>892</v>
      </c>
      <c r="B1679">
        <v>26624</v>
      </c>
      <c r="C1679">
        <v>27459</v>
      </c>
      <c r="D1679" s="13">
        <f t="shared" si="34"/>
        <v>53.462097455851605</v>
      </c>
      <c r="E1679" s="61" t="s">
        <v>1931</v>
      </c>
      <c r="F1679" s="65">
        <v>126.47265254851479</v>
      </c>
      <c r="G1679" s="6">
        <v>801</v>
      </c>
      <c r="H1679" s="6">
        <v>740</v>
      </c>
      <c r="I1679" s="65">
        <v>1.70814388661789</v>
      </c>
      <c r="J1679" s="6">
        <f>VLOOKUP($D1679,Sheet1!$A$5:$C$192,3,TRUE)</f>
        <v>10</v>
      </c>
      <c r="K1679" s="42" t="str">
        <f>VLOOKUP($D1679,Sheet1!$A$5:$C$192,2,TRUE)</f>
        <v>/|\</v>
      </c>
      <c r="L1679" s="6">
        <f>FLOOR(VLOOKUP($D1679,Sheet1!$D$5:$F$192,3,TRUE),1)</f>
        <v>22</v>
      </c>
      <c r="M1679" s="42" t="str">
        <f>VLOOKUP($D1679,Sheet1!$D$5:$F$192,2,TRUE)</f>
        <v>/|\</v>
      </c>
      <c r="N1679" s="23">
        <f>FLOOR(VLOOKUP($D1679,Sheet1!$G$5:$I$192,3,TRUE),1)</f>
        <v>27</v>
      </c>
      <c r="O1679" s="42" t="str">
        <f>VLOOKUP($D1679,Sheet1!$G$5:$I$192,2,TRUE)</f>
        <v>/|\</v>
      </c>
      <c r="P1679" s="23">
        <v>1</v>
      </c>
      <c r="Q1679" s="43" t="str">
        <f>VLOOKUP($D1679,Sheet1!$J$5:$L$192,2,TRUE)</f>
        <v>/|\'</v>
      </c>
      <c r="R1679" s="23">
        <f>FLOOR(VLOOKUP($D1679,Sheet1!$M$5:$O$192,3,TRUE),1)</f>
        <v>110</v>
      </c>
      <c r="S1679" s="42" t="str">
        <f>VLOOKUP($D1679,Sheet1!$M$5:$O$192,2,TRUE)</f>
        <v>/|\'</v>
      </c>
      <c r="T1679" s="117">
        <f>IF(ABS(D1679-VLOOKUP($D1679,Sheet1!$M$5:$T$192,8,TRUE))&lt;10^-10,"SoCA",D1679-VLOOKUP($D1679,Sheet1!$M$5:$T$192,8,TRUE))</f>
        <v>-0.23356194024734123</v>
      </c>
      <c r="U1679" s="109">
        <f>IF(VLOOKUP($D1679,Sheet1!$M$5:$U$192,9,TRUE)=0,"",IF(ABS(D1679-VLOOKUP($D1679,Sheet1!$M$5:$U$192,9,TRUE))&lt;10^-10,"Alt.",D1679-VLOOKUP($D1679,Sheet1!$M$5:$U$192,9,TRUE)))</f>
        <v>-0.20660164504490552</v>
      </c>
      <c r="V1679" s="132">
        <f>$D1679-Sheet1!$M$3*$R1679</f>
        <v>-0.20893544693085175</v>
      </c>
    </row>
    <row r="1680" spans="1:22" ht="13.5">
      <c r="A1680" t="s">
        <v>1254</v>
      </c>
      <c r="B1680">
        <v>1179</v>
      </c>
      <c r="C1680">
        <v>1216</v>
      </c>
      <c r="D1680" s="13">
        <f t="shared" si="34"/>
        <v>53.495412556587247</v>
      </c>
      <c r="E1680" s="61" t="s">
        <v>1931</v>
      </c>
      <c r="F1680" s="65">
        <v>150.5998954787346</v>
      </c>
      <c r="G1680" s="6">
        <v>1160</v>
      </c>
      <c r="H1680" s="6">
        <v>1103</v>
      </c>
      <c r="I1680" s="65">
        <v>-5.2939074455079229</v>
      </c>
      <c r="J1680" s="6">
        <f>VLOOKUP($D1680,Sheet1!$A$5:$C$192,3,TRUE)</f>
        <v>10</v>
      </c>
      <c r="K1680" s="42" t="str">
        <f>VLOOKUP($D1680,Sheet1!$A$5:$C$192,2,TRUE)</f>
        <v>/|\</v>
      </c>
      <c r="L1680" s="6">
        <f>FLOOR(VLOOKUP($D1680,Sheet1!$D$5:$F$192,3,TRUE),1)</f>
        <v>22</v>
      </c>
      <c r="M1680" s="42" t="str">
        <f>VLOOKUP($D1680,Sheet1!$D$5:$F$192,2,TRUE)</f>
        <v>/|\</v>
      </c>
      <c r="N1680" s="23">
        <f>FLOOR(VLOOKUP($D1680,Sheet1!$G$5:$I$192,3,TRUE),1)</f>
        <v>27</v>
      </c>
      <c r="O1680" s="42" t="str">
        <f>VLOOKUP($D1680,Sheet1!$G$5:$I$192,2,TRUE)</f>
        <v>/|\</v>
      </c>
      <c r="P1680" s="23">
        <v>1</v>
      </c>
      <c r="Q1680" s="43" t="str">
        <f>VLOOKUP($D1680,Sheet1!$J$5:$L$192,2,TRUE)</f>
        <v>/|\'</v>
      </c>
      <c r="R1680" s="23">
        <f>FLOOR(VLOOKUP($D1680,Sheet1!$M$5:$O$192,3,TRUE),1)</f>
        <v>110</v>
      </c>
      <c r="S1680" s="42" t="str">
        <f>VLOOKUP($D1680,Sheet1!$M$5:$O$192,2,TRUE)</f>
        <v>/|\'</v>
      </c>
      <c r="T1680" s="117">
        <f>IF(ABS(D1680-VLOOKUP($D1680,Sheet1!$M$5:$T$192,8,TRUE))&lt;10^-10,"SoCA",D1680-VLOOKUP($D1680,Sheet1!$M$5:$T$192,8,TRUE))</f>
        <v>-0.20024683951169919</v>
      </c>
      <c r="U1680" s="109">
        <f>IF(VLOOKUP($D1680,Sheet1!$M$5:$U$192,9,TRUE)=0,"",IF(ABS(D1680-VLOOKUP($D1680,Sheet1!$M$5:$U$192,9,TRUE))&lt;10^-10,"Alt.",D1680-VLOOKUP($D1680,Sheet1!$M$5:$U$192,9,TRUE)))</f>
        <v>-0.17328654430926349</v>
      </c>
      <c r="V1680" s="132">
        <f>$D1680-Sheet1!$M$3*$R1680</f>
        <v>-0.17562034619520972</v>
      </c>
    </row>
    <row r="1681" spans="1:22" ht="13.5">
      <c r="A1681" s="38" t="s">
        <v>369</v>
      </c>
      <c r="B1681" s="38">
        <f>3^2*7</f>
        <v>63</v>
      </c>
      <c r="C1681" s="38">
        <f>5*13</f>
        <v>65</v>
      </c>
      <c r="D1681" s="51">
        <f t="shared" si="34"/>
        <v>54.105467434245838</v>
      </c>
      <c r="E1681" s="61">
        <v>13</v>
      </c>
      <c r="F1681" s="65">
        <v>30.402972751948397</v>
      </c>
      <c r="G1681" s="6">
        <v>212</v>
      </c>
      <c r="H1681" s="6">
        <v>204</v>
      </c>
      <c r="I1681" s="65">
        <v>-5.3314707468762883</v>
      </c>
      <c r="J1681" s="6">
        <f>VLOOKUP($D1681,Sheet1!$A$5:$C$192,3,TRUE)</f>
        <v>10</v>
      </c>
      <c r="K1681" s="42" t="str">
        <f>VLOOKUP($D1681,Sheet1!$A$5:$C$192,2,TRUE)</f>
        <v>/|\</v>
      </c>
      <c r="L1681" s="6">
        <f>FLOOR(VLOOKUP($D1681,Sheet1!$D$5:$F$192,3,TRUE),1)</f>
        <v>23</v>
      </c>
      <c r="M1681" s="42" t="str">
        <f>VLOOKUP($D1681,Sheet1!$D$5:$F$192,2,TRUE)</f>
        <v>(/|</v>
      </c>
      <c r="N1681" s="23">
        <f>FLOOR(VLOOKUP($D1681,Sheet1!$G$5:$I$192,3,TRUE),1)</f>
        <v>28</v>
      </c>
      <c r="O1681" s="42" t="str">
        <f>VLOOKUP($D1681,Sheet1!$G$5:$I$192,2,TRUE)</f>
        <v>(/|</v>
      </c>
      <c r="P1681" s="23">
        <v>1</v>
      </c>
      <c r="Q1681" s="45" t="str">
        <f>VLOOKUP($D1681,Sheet1!$J$5:$L$192,2,TRUE)</f>
        <v>(/|.</v>
      </c>
      <c r="R1681" s="38">
        <f>FLOOR(VLOOKUP($D1681,Sheet1!$M$5:$O$192,3,TRUE),1)</f>
        <v>111</v>
      </c>
      <c r="S1681" s="45" t="str">
        <f>VLOOKUP($D1681,Sheet1!$M$5:$O$192,2,TRUE)</f>
        <v>(/|.</v>
      </c>
      <c r="T1681" s="112" t="str">
        <f>IF(ABS(D1681-VLOOKUP($D1681,Sheet1!$M$5:$T$192,8,TRUE))&lt;10^-10,"SoCA",D1681-VLOOKUP($D1681,Sheet1!$M$5:$T$192,8,TRUE))</f>
        <v>SoCA</v>
      </c>
      <c r="U1681" s="108">
        <f>IF(VLOOKUP($D1681,Sheet1!$M$5:$U$192,9,TRUE)=0,"",IF(ABS(D1681-VLOOKUP($D1681,Sheet1!$M$5:$U$192,9,TRUE))&lt;10^-10,"Alt.",D1681-VLOOKUP($D1681,Sheet1!$M$5:$U$192,9,TRUE)))</f>
        <v>-2.6960295202414386E-2</v>
      </c>
      <c r="V1681" s="133">
        <f>$D1681-Sheet1!$M$3*$R1681</f>
        <v>-5.3483949471001324E-2</v>
      </c>
    </row>
    <row r="1682" spans="1:22" ht="13.5">
      <c r="A1682" s="23" t="s">
        <v>383</v>
      </c>
      <c r="B1682" s="23">
        <f>2^8*23</f>
        <v>5888</v>
      </c>
      <c r="C1682" s="23">
        <f>3^5*5^2</f>
        <v>6075</v>
      </c>
      <c r="D1682" s="13">
        <f t="shared" si="34"/>
        <v>54.128084788191224</v>
      </c>
      <c r="E1682" s="61">
        <v>23</v>
      </c>
      <c r="F1682" s="65">
        <v>39.945439179937949</v>
      </c>
      <c r="G1682" s="6">
        <v>244</v>
      </c>
      <c r="H1682" s="6">
        <v>218</v>
      </c>
      <c r="I1682" s="65">
        <v>1.6671366202417883</v>
      </c>
      <c r="J1682" s="6">
        <f>VLOOKUP($D1682,Sheet1!$A$5:$C$192,3,TRUE)</f>
        <v>10</v>
      </c>
      <c r="K1682" s="42" t="str">
        <f>VLOOKUP($D1682,Sheet1!$A$5:$C$192,2,TRUE)</f>
        <v>/|\</v>
      </c>
      <c r="L1682" s="6">
        <f>FLOOR(VLOOKUP($D1682,Sheet1!$D$5:$F$192,3,TRUE),1)</f>
        <v>23</v>
      </c>
      <c r="M1682" s="42" t="str">
        <f>VLOOKUP($D1682,Sheet1!$D$5:$F$192,2,TRUE)</f>
        <v>(/|</v>
      </c>
      <c r="N1682" s="23">
        <f>FLOOR(VLOOKUP($D1682,Sheet1!$G$5:$I$192,3,TRUE),1)</f>
        <v>28</v>
      </c>
      <c r="O1682" s="42" t="str">
        <f>VLOOKUP($D1682,Sheet1!$G$5:$I$192,2,TRUE)</f>
        <v>(/|</v>
      </c>
      <c r="P1682" s="23">
        <v>1</v>
      </c>
      <c r="Q1682" s="43" t="str">
        <f>VLOOKUP($D1682,Sheet1!$J$5:$L$192,2,TRUE)</f>
        <v>(/|.</v>
      </c>
      <c r="R1682" s="23">
        <f>FLOOR(VLOOKUP($D1682,Sheet1!$M$5:$O$192,3,TRUE),1)</f>
        <v>111</v>
      </c>
      <c r="S1682" s="43" t="str">
        <f>VLOOKUP($D1682,Sheet1!$M$5:$O$192,2,TRUE)</f>
        <v>(/|.</v>
      </c>
      <c r="T1682" s="117">
        <f>IF(ABS(D1682-VLOOKUP($D1682,Sheet1!$M$5:$T$192,8,TRUE))&lt;10^-10,"SoCA",D1682-VLOOKUP($D1682,Sheet1!$M$5:$T$192,8,TRUE))</f>
        <v>2.2617353945406649E-2</v>
      </c>
      <c r="U1682" s="117">
        <f>IF(VLOOKUP($D1682,Sheet1!$M$5:$U$192,9,TRUE)=0,"",IF(ABS(D1682-VLOOKUP($D1682,Sheet1!$M$5:$U$192,9,TRUE))&lt;10^-10,"Alt.",D1682-VLOOKUP($D1682,Sheet1!$M$5:$U$192,9,TRUE)))</f>
        <v>-4.3429412570290538E-3</v>
      </c>
      <c r="V1682" s="132">
        <f>$D1682-Sheet1!$M$3*$R1682</f>
        <v>-3.0866595525615992E-2</v>
      </c>
    </row>
    <row r="1683" spans="1:22" ht="13.5">
      <c r="A1683" s="6" t="s">
        <v>1829</v>
      </c>
      <c r="B1683">
        <v>793881</v>
      </c>
      <c r="C1683">
        <v>819200</v>
      </c>
      <c r="D1683" s="13">
        <f t="shared" si="34"/>
        <v>54.351536077056871</v>
      </c>
      <c r="E1683" s="61">
        <v>11</v>
      </c>
      <c r="F1683" s="65">
        <v>59.859125524981181</v>
      </c>
      <c r="G1683" s="59">
        <v>1582</v>
      </c>
      <c r="H1683" s="63">
        <v>1000034</v>
      </c>
      <c r="I1683" s="65">
        <v>-11.346622089691037</v>
      </c>
      <c r="J1683" s="6">
        <f>VLOOKUP($D1683,Sheet1!$A$5:$C$192,3,TRUE)</f>
        <v>10</v>
      </c>
      <c r="K1683" s="42" t="str">
        <f>VLOOKUP($D1683,Sheet1!$A$5:$C$192,2,TRUE)</f>
        <v>/|\</v>
      </c>
      <c r="L1683" s="6">
        <f>FLOOR(VLOOKUP($D1683,Sheet1!$D$5:$F$192,3,TRUE),1)</f>
        <v>23</v>
      </c>
      <c r="M1683" s="42" t="str">
        <f>VLOOKUP($D1683,Sheet1!$D$5:$F$192,2,TRUE)</f>
        <v>(/|</v>
      </c>
      <c r="N1683" s="23">
        <f>FLOOR(VLOOKUP($D1683,Sheet1!$G$5:$I$192,3,TRUE),1)</f>
        <v>28</v>
      </c>
      <c r="O1683" s="42" t="str">
        <f>VLOOKUP($D1683,Sheet1!$G$5:$I$192,2,TRUE)</f>
        <v>(/|</v>
      </c>
      <c r="P1683" s="23">
        <v>1</v>
      </c>
      <c r="Q1683" s="43" t="str">
        <f>VLOOKUP($D1683,Sheet1!$J$5:$L$192,2,TRUE)</f>
        <v>(/|.</v>
      </c>
      <c r="R1683" s="23">
        <f>FLOOR(VLOOKUP($D1683,Sheet1!$M$5:$O$192,3,TRUE),1)</f>
        <v>111</v>
      </c>
      <c r="S1683" s="42" t="str">
        <f>VLOOKUP($D1683,Sheet1!$M$5:$O$192,2,TRUE)</f>
        <v>(/|.</v>
      </c>
      <c r="T1683" s="117">
        <f>IF(ABS(D1683-VLOOKUP($D1683,Sheet1!$M$5:$T$192,8,TRUE))&lt;10^-10,"SoCA",D1683-VLOOKUP($D1683,Sheet1!$M$5:$T$192,8,TRUE))</f>
        <v>0.24606864281105345</v>
      </c>
      <c r="U1683" s="109">
        <f>IF(VLOOKUP($D1683,Sheet1!$M$5:$U$192,9,TRUE)=0,"",IF(ABS(D1683-VLOOKUP($D1683,Sheet1!$M$5:$U$192,9,TRUE))&lt;10^-10,"Alt.",D1683-VLOOKUP($D1683,Sheet1!$M$5:$U$192,9,TRUE)))</f>
        <v>0.21910834760861775</v>
      </c>
      <c r="V1683" s="132">
        <f>$D1683-Sheet1!$M$3*$R1683</f>
        <v>0.19258469334003081</v>
      </c>
    </row>
    <row r="1684" spans="1:22" ht="13.5">
      <c r="A1684" t="s">
        <v>452</v>
      </c>
      <c r="B1684">
        <v>2295</v>
      </c>
      <c r="C1684">
        <v>2368</v>
      </c>
      <c r="D1684" s="13">
        <f t="shared" si="34"/>
        <v>54.20991279333532</v>
      </c>
      <c r="E1684" s="61">
        <v>37</v>
      </c>
      <c r="F1684" s="65">
        <v>71.809335349501467</v>
      </c>
      <c r="G1684" s="6">
        <v>298</v>
      </c>
      <c r="H1684" s="6">
        <v>290</v>
      </c>
      <c r="I1684" s="65">
        <v>-6.3379018281505868</v>
      </c>
      <c r="J1684" s="6">
        <f>VLOOKUP($D1684,Sheet1!$A$5:$C$192,3,TRUE)</f>
        <v>10</v>
      </c>
      <c r="K1684" s="42" t="str">
        <f>VLOOKUP($D1684,Sheet1!$A$5:$C$192,2,TRUE)</f>
        <v>/|\</v>
      </c>
      <c r="L1684" s="6">
        <f>FLOOR(VLOOKUP($D1684,Sheet1!$D$5:$F$192,3,TRUE),1)</f>
        <v>23</v>
      </c>
      <c r="M1684" s="42" t="str">
        <f>VLOOKUP($D1684,Sheet1!$D$5:$F$192,2,TRUE)</f>
        <v>(/|</v>
      </c>
      <c r="N1684" s="23">
        <f>FLOOR(VLOOKUP($D1684,Sheet1!$G$5:$I$192,3,TRUE),1)</f>
        <v>28</v>
      </c>
      <c r="O1684" s="42" t="str">
        <f>VLOOKUP($D1684,Sheet1!$G$5:$I$192,2,TRUE)</f>
        <v>(/|</v>
      </c>
      <c r="P1684" s="23">
        <v>1</v>
      </c>
      <c r="Q1684" s="43" t="str">
        <f>VLOOKUP($D1684,Sheet1!$J$5:$L$192,2,TRUE)</f>
        <v>(/|.</v>
      </c>
      <c r="R1684" s="23">
        <f>FLOOR(VLOOKUP($D1684,Sheet1!$M$5:$O$192,3,TRUE),1)</f>
        <v>111</v>
      </c>
      <c r="S1684" s="42" t="str">
        <f>VLOOKUP($D1684,Sheet1!$M$5:$O$192,2,TRUE)</f>
        <v>(/|.</v>
      </c>
      <c r="T1684" s="117">
        <f>IF(ABS(D1684-VLOOKUP($D1684,Sheet1!$M$5:$T$192,8,TRUE))&lt;10^-10,"SoCA",D1684-VLOOKUP($D1684,Sheet1!$M$5:$T$192,8,TRUE))</f>
        <v>0.10444535908950314</v>
      </c>
      <c r="U1684" s="109">
        <f>IF(VLOOKUP($D1684,Sheet1!$M$5:$U$192,9,TRUE)=0,"",IF(ABS(D1684-VLOOKUP($D1684,Sheet1!$M$5:$U$192,9,TRUE))&lt;10^-10,"Alt.",D1684-VLOOKUP($D1684,Sheet1!$M$5:$U$192,9,TRUE)))</f>
        <v>7.748506388706744E-2</v>
      </c>
      <c r="V1684" s="132">
        <f>$D1684-Sheet1!$M$3*$R1684</f>
        <v>5.0961409618480502E-2</v>
      </c>
    </row>
    <row r="1685" spans="1:22" ht="13.5">
      <c r="A1685" t="s">
        <v>1757</v>
      </c>
      <c r="B1685">
        <v>4065633</v>
      </c>
      <c r="C1685">
        <v>4194304</v>
      </c>
      <c r="D1685" s="13">
        <f t="shared" si="34"/>
        <v>53.941728038910192</v>
      </c>
      <c r="E1685" s="61">
        <v>13</v>
      </c>
      <c r="F1685" s="65">
        <v>73.443069368696058</v>
      </c>
      <c r="G1685" s="6">
        <v>1666</v>
      </c>
      <c r="H1685" s="6">
        <v>1606</v>
      </c>
      <c r="I1685" s="65">
        <v>-10.321388715770377</v>
      </c>
      <c r="J1685" s="6">
        <f>VLOOKUP($D1685,Sheet1!$A$5:$C$192,3,TRUE)</f>
        <v>10</v>
      </c>
      <c r="K1685" s="42" t="str">
        <f>VLOOKUP($D1685,Sheet1!$A$5:$C$192,2,TRUE)</f>
        <v>/|\</v>
      </c>
      <c r="L1685" s="6">
        <f>FLOOR(VLOOKUP($D1685,Sheet1!$D$5:$F$192,3,TRUE),1)</f>
        <v>23</v>
      </c>
      <c r="M1685" s="42" t="str">
        <f>VLOOKUP($D1685,Sheet1!$D$5:$F$192,2,TRUE)</f>
        <v>(/|</v>
      </c>
      <c r="N1685" s="23">
        <f>FLOOR(VLOOKUP($D1685,Sheet1!$G$5:$I$192,3,TRUE),1)</f>
        <v>28</v>
      </c>
      <c r="O1685" s="42" t="str">
        <f>VLOOKUP($D1685,Sheet1!$G$5:$I$192,2,TRUE)</f>
        <v>(/|</v>
      </c>
      <c r="P1685" s="23">
        <v>1</v>
      </c>
      <c r="Q1685" s="43" t="str">
        <f>VLOOKUP($D1685,Sheet1!$J$5:$L$192,2,TRUE)</f>
        <v>(/|.</v>
      </c>
      <c r="R1685" s="23">
        <f>FLOOR(VLOOKUP($D1685,Sheet1!$M$5:$O$192,3,TRUE),1)</f>
        <v>111</v>
      </c>
      <c r="S1685" s="42" t="str">
        <f>VLOOKUP($D1685,Sheet1!$M$5:$O$192,2,TRUE)</f>
        <v>(/|.</v>
      </c>
      <c r="T1685" s="117">
        <f>IF(ABS(D1685-VLOOKUP($D1685,Sheet1!$M$5:$T$192,8,TRUE))&lt;10^-10,"SoCA",D1685-VLOOKUP($D1685,Sheet1!$M$5:$T$192,8,TRUE))</f>
        <v>-0.1637393953356252</v>
      </c>
      <c r="U1685" s="109">
        <f>IF(VLOOKUP($D1685,Sheet1!$M$5:$U$192,9,TRUE)=0,"",IF(ABS(D1685-VLOOKUP($D1685,Sheet1!$M$5:$U$192,9,TRUE))&lt;10^-10,"Alt.",D1685-VLOOKUP($D1685,Sheet1!$M$5:$U$192,9,TRUE)))</f>
        <v>-0.19069969053806091</v>
      </c>
      <c r="V1685" s="132">
        <f>$D1685-Sheet1!$M$3*$R1685</f>
        <v>-0.21722334480664784</v>
      </c>
    </row>
    <row r="1686" spans="1:22" ht="13.5">
      <c r="A1686" s="6" t="s">
        <v>1999</v>
      </c>
      <c r="B1686" s="18">
        <f>2^22*7</f>
        <v>29360128</v>
      </c>
      <c r="C1686" s="18">
        <f>3^13*19</f>
        <v>30292137</v>
      </c>
      <c r="D1686" s="13">
        <f t="shared" si="34"/>
        <v>54.102120913214044</v>
      </c>
      <c r="E1686" s="22">
        <v>19</v>
      </c>
      <c r="F1686" s="65">
        <v>108.89046103376302</v>
      </c>
      <c r="G1686" s="18">
        <v>2000000</v>
      </c>
      <c r="H1686" s="18">
        <v>2000000</v>
      </c>
      <c r="I1686" s="65">
        <v>9.6687353106156806</v>
      </c>
      <c r="J1686" s="6">
        <f>VLOOKUP($D1686,Sheet1!$A$5:$C$192,3,TRUE)</f>
        <v>10</v>
      </c>
      <c r="K1686" s="42" t="str">
        <f>VLOOKUP($D1686,Sheet1!$A$5:$C$192,2,TRUE)</f>
        <v>/|\</v>
      </c>
      <c r="L1686" s="6">
        <f>FLOOR(VLOOKUP($D1686,Sheet1!$D$5:$F$192,3,TRUE),1)</f>
        <v>23</v>
      </c>
      <c r="M1686" s="42" t="str">
        <f>VLOOKUP($D1686,Sheet1!$D$5:$F$192,2,TRUE)</f>
        <v>(/|</v>
      </c>
      <c r="N1686" s="23">
        <f>FLOOR(VLOOKUP($D1686,Sheet1!$G$5:$I$192,3,TRUE),1)</f>
        <v>28</v>
      </c>
      <c r="O1686" s="42" t="str">
        <f>VLOOKUP($D1686,Sheet1!$G$5:$I$192,2,TRUE)</f>
        <v>(/|</v>
      </c>
      <c r="P1686" s="23">
        <v>1</v>
      </c>
      <c r="Q1686" s="43" t="str">
        <f>VLOOKUP($D1686,Sheet1!$J$5:$L$192,2,TRUE)</f>
        <v>(/|.</v>
      </c>
      <c r="R1686" s="23">
        <f>FLOOR(VLOOKUP($D1686,Sheet1!$M$5:$O$192,3,TRUE),1)</f>
        <v>111</v>
      </c>
      <c r="S1686" s="42" t="str">
        <f>VLOOKUP($D1686,Sheet1!$M$5:$O$192,2,TRUE)</f>
        <v>(/|.</v>
      </c>
      <c r="T1686" s="117">
        <f>IF(ABS(D1686-VLOOKUP($D1686,Sheet1!$M$5:$T$192,8,TRUE))&lt;10^-10,"SoCA",D1686-VLOOKUP($D1686,Sheet1!$M$5:$T$192,8,TRUE))</f>
        <v>-3.3465210317729088E-3</v>
      </c>
      <c r="U1686" s="109">
        <f>IF(VLOOKUP($D1686,Sheet1!$M$5:$U$192,9,TRUE)=0,"",IF(ABS(D1686-VLOOKUP($D1686,Sheet1!$M$5:$U$192,9,TRUE))&lt;10^-10,"Alt.",D1686-VLOOKUP($D1686,Sheet1!$M$5:$U$192,9,TRUE)))</f>
        <v>-3.0306816234208611E-2</v>
      </c>
      <c r="V1686" s="132">
        <f>$D1686-Sheet1!$M$3*$R1686</f>
        <v>-5.6830470502795549E-2</v>
      </c>
    </row>
    <row r="1687" spans="1:22" ht="13.5">
      <c r="A1687" t="s">
        <v>1292</v>
      </c>
      <c r="B1687">
        <v>1392640</v>
      </c>
      <c r="C1687">
        <v>1436859</v>
      </c>
      <c r="D1687" s="13">
        <f t="shared" si="34"/>
        <v>54.115355079265221</v>
      </c>
      <c r="E1687" s="61" t="s">
        <v>1931</v>
      </c>
      <c r="F1687" s="65">
        <v>121.11204379633288</v>
      </c>
      <c r="G1687" s="6">
        <v>1199</v>
      </c>
      <c r="H1687" s="6">
        <v>1141</v>
      </c>
      <c r="I1687" s="65">
        <v>5.6679204347972165</v>
      </c>
      <c r="J1687" s="6">
        <f>VLOOKUP($D1687,Sheet1!$A$5:$C$192,3,TRUE)</f>
        <v>10</v>
      </c>
      <c r="K1687" s="42" t="str">
        <f>VLOOKUP($D1687,Sheet1!$A$5:$C$192,2,TRUE)</f>
        <v>/|\</v>
      </c>
      <c r="L1687" s="6">
        <f>FLOOR(VLOOKUP($D1687,Sheet1!$D$5:$F$192,3,TRUE),1)</f>
        <v>23</v>
      </c>
      <c r="M1687" s="42" t="str">
        <f>VLOOKUP($D1687,Sheet1!$D$5:$F$192,2,TRUE)</f>
        <v>(/|</v>
      </c>
      <c r="N1687" s="23">
        <f>FLOOR(VLOOKUP($D1687,Sheet1!$G$5:$I$192,3,TRUE),1)</f>
        <v>28</v>
      </c>
      <c r="O1687" s="42" t="str">
        <f>VLOOKUP($D1687,Sheet1!$G$5:$I$192,2,TRUE)</f>
        <v>(/|</v>
      </c>
      <c r="P1687" s="23">
        <v>1</v>
      </c>
      <c r="Q1687" s="43" t="str">
        <f>VLOOKUP($D1687,Sheet1!$J$5:$L$192,2,TRUE)</f>
        <v>(/|.</v>
      </c>
      <c r="R1687" s="23">
        <f>FLOOR(VLOOKUP($D1687,Sheet1!$M$5:$O$192,3,TRUE),1)</f>
        <v>111</v>
      </c>
      <c r="S1687" s="42" t="str">
        <f>VLOOKUP($D1687,Sheet1!$M$5:$O$192,2,TRUE)</f>
        <v>(/|.</v>
      </c>
      <c r="T1687" s="117">
        <f>IF(ABS(D1687-VLOOKUP($D1687,Sheet1!$M$5:$T$192,8,TRUE))&lt;10^-10,"SoCA",D1687-VLOOKUP($D1687,Sheet1!$M$5:$T$192,8,TRUE))</f>
        <v>9.8876450194040899E-3</v>
      </c>
      <c r="U1687" s="109">
        <f>IF(VLOOKUP($D1687,Sheet1!$M$5:$U$192,9,TRUE)=0,"",IF(ABS(D1687-VLOOKUP($D1687,Sheet1!$M$5:$U$192,9,TRUE))&lt;10^-10,"Alt.",D1687-VLOOKUP($D1687,Sheet1!$M$5:$U$192,9,TRUE)))</f>
        <v>-1.7072650183031612E-2</v>
      </c>
      <c r="V1687" s="132">
        <f>$D1687-Sheet1!$M$3*$R1687</f>
        <v>-4.3596304451618551E-2</v>
      </c>
    </row>
    <row r="1688" spans="1:22" ht="13.5">
      <c r="A1688" t="s">
        <v>853</v>
      </c>
      <c r="B1688">
        <v>1736</v>
      </c>
      <c r="C1688">
        <v>1791</v>
      </c>
      <c r="D1688" s="13">
        <f t="shared" si="34"/>
        <v>53.998067449778247</v>
      </c>
      <c r="E1688" s="61" t="s">
        <v>1931</v>
      </c>
      <c r="F1688" s="65">
        <v>284.49840065821007</v>
      </c>
      <c r="G1688" s="6">
        <v>770</v>
      </c>
      <c r="H1688" s="6">
        <v>700</v>
      </c>
      <c r="I1688" s="65">
        <v>-1.3248577385531717</v>
      </c>
      <c r="J1688" s="6">
        <f>VLOOKUP($D1688,Sheet1!$A$5:$C$192,3,TRUE)</f>
        <v>10</v>
      </c>
      <c r="K1688" s="42" t="str">
        <f>VLOOKUP($D1688,Sheet1!$A$5:$C$192,2,TRUE)</f>
        <v>/|\</v>
      </c>
      <c r="L1688" s="6">
        <f>FLOOR(VLOOKUP($D1688,Sheet1!$D$5:$F$192,3,TRUE),1)</f>
        <v>23</v>
      </c>
      <c r="M1688" s="42" t="str">
        <f>VLOOKUP($D1688,Sheet1!$D$5:$F$192,2,TRUE)</f>
        <v>(/|</v>
      </c>
      <c r="N1688" s="23">
        <f>FLOOR(VLOOKUP($D1688,Sheet1!$G$5:$I$192,3,TRUE),1)</f>
        <v>28</v>
      </c>
      <c r="O1688" s="42" t="str">
        <f>VLOOKUP($D1688,Sheet1!$G$5:$I$192,2,TRUE)</f>
        <v>(/|</v>
      </c>
      <c r="P1688" s="23">
        <v>1</v>
      </c>
      <c r="Q1688" s="43" t="str">
        <f>VLOOKUP($D1688,Sheet1!$J$5:$L$192,2,TRUE)</f>
        <v>(/|.</v>
      </c>
      <c r="R1688" s="23">
        <f>FLOOR(VLOOKUP($D1688,Sheet1!$M$5:$O$192,3,TRUE),1)</f>
        <v>111</v>
      </c>
      <c r="S1688" s="42" t="str">
        <f>VLOOKUP($D1688,Sheet1!$M$5:$O$192,2,TRUE)</f>
        <v>(/|.</v>
      </c>
      <c r="T1688" s="117">
        <f>IF(ABS(D1688-VLOOKUP($D1688,Sheet1!$M$5:$T$192,8,TRUE))&lt;10^-10,"SoCA",D1688-VLOOKUP($D1688,Sheet1!$M$5:$T$192,8,TRUE))</f>
        <v>-0.10739998446756971</v>
      </c>
      <c r="U1688" s="109">
        <f>IF(VLOOKUP($D1688,Sheet1!$M$5:$U$192,9,TRUE)=0,"",IF(ABS(D1688-VLOOKUP($D1688,Sheet1!$M$5:$U$192,9,TRUE))&lt;10^-10,"Alt.",D1688-VLOOKUP($D1688,Sheet1!$M$5:$U$192,9,TRUE)))</f>
        <v>-0.13436027967000541</v>
      </c>
      <c r="V1688" s="132">
        <f>$D1688-Sheet1!$M$3*$R1688</f>
        <v>-0.16088393393859235</v>
      </c>
    </row>
    <row r="1689" spans="1:22" ht="13.5">
      <c r="A1689" t="s">
        <v>1745</v>
      </c>
      <c r="B1689">
        <v>8238429</v>
      </c>
      <c r="C1689">
        <v>8501248</v>
      </c>
      <c r="D1689" s="13">
        <f t="shared" si="34"/>
        <v>54.366472329746422</v>
      </c>
      <c r="E1689" s="61" t="s">
        <v>1931</v>
      </c>
      <c r="F1689" s="65">
        <v>5273.5303103784072</v>
      </c>
      <c r="G1689" s="6">
        <v>1533</v>
      </c>
      <c r="H1689" s="6">
        <v>1594</v>
      </c>
      <c r="I1689" s="65">
        <v>-10.347541769184863</v>
      </c>
      <c r="J1689" s="6">
        <f>VLOOKUP($D1689,Sheet1!$A$5:$C$192,3,TRUE)</f>
        <v>10</v>
      </c>
      <c r="K1689" s="42" t="str">
        <f>VLOOKUP($D1689,Sheet1!$A$5:$C$192,2,TRUE)</f>
        <v>/|\</v>
      </c>
      <c r="L1689" s="6">
        <f>FLOOR(VLOOKUP($D1689,Sheet1!$D$5:$F$192,3,TRUE),1)</f>
        <v>23</v>
      </c>
      <c r="M1689" s="42" t="str">
        <f>VLOOKUP($D1689,Sheet1!$D$5:$F$192,2,TRUE)</f>
        <v>(/|</v>
      </c>
      <c r="N1689" s="23">
        <f>FLOOR(VLOOKUP($D1689,Sheet1!$G$5:$I$192,3,TRUE),1)</f>
        <v>28</v>
      </c>
      <c r="O1689" s="42" t="str">
        <f>VLOOKUP($D1689,Sheet1!$G$5:$I$192,2,TRUE)</f>
        <v>(/|</v>
      </c>
      <c r="P1689" s="23">
        <v>1</v>
      </c>
      <c r="Q1689" s="43" t="str">
        <f>VLOOKUP($D1689,Sheet1!$J$5:$L$192,2,TRUE)</f>
        <v>(/|.</v>
      </c>
      <c r="R1689" s="23">
        <f>FLOOR(VLOOKUP($D1689,Sheet1!$M$5:$O$192,3,TRUE),1)</f>
        <v>111</v>
      </c>
      <c r="S1689" s="42" t="str">
        <f>VLOOKUP($D1689,Sheet1!$M$5:$O$192,2,TRUE)</f>
        <v>(/|.</v>
      </c>
      <c r="T1689" s="117">
        <f>IF(ABS(D1689-VLOOKUP($D1689,Sheet1!$M$5:$T$192,8,TRUE))&lt;10^-10,"SoCA",D1689-VLOOKUP($D1689,Sheet1!$M$5:$T$192,8,TRUE))</f>
        <v>0.26100489550060502</v>
      </c>
      <c r="U1689" s="109">
        <f>IF(VLOOKUP($D1689,Sheet1!$M$5:$U$192,9,TRUE)=0,"",IF(ABS(D1689-VLOOKUP($D1689,Sheet1!$M$5:$U$192,9,TRUE))&lt;10^-10,"Alt.",D1689-VLOOKUP($D1689,Sheet1!$M$5:$U$192,9,TRUE)))</f>
        <v>0.23404460029816931</v>
      </c>
      <c r="V1689" s="132">
        <f>$D1689-Sheet1!$M$3*$R1689</f>
        <v>0.20752094602958238</v>
      </c>
    </row>
    <row r="1690" spans="1:22" ht="13.5">
      <c r="A1690" s="33" t="s">
        <v>213</v>
      </c>
      <c r="B1690" s="33">
        <f>3^4*7^2</f>
        <v>3969</v>
      </c>
      <c r="C1690" s="33">
        <f>2^12</f>
        <v>4096</v>
      </c>
      <c r="D1690" s="51">
        <f t="shared" si="34"/>
        <v>54.528183600200641</v>
      </c>
      <c r="E1690" s="61">
        <v>7</v>
      </c>
      <c r="F1690" s="65">
        <v>20.978441802732519</v>
      </c>
      <c r="G1690" s="6">
        <v>22</v>
      </c>
      <c r="H1690" s="6">
        <v>25</v>
      </c>
      <c r="I1690" s="65">
        <v>-7.3574989212529642</v>
      </c>
      <c r="J1690" s="6">
        <f>VLOOKUP($D1690,Sheet1!$A$5:$C$192,3,TRUE)</f>
        <v>10</v>
      </c>
      <c r="K1690" s="42" t="str">
        <f>VLOOKUP($D1690,Sheet1!$A$5:$C$192,2,TRUE)</f>
        <v>/|\</v>
      </c>
      <c r="L1690" s="34">
        <f>FLOOR(VLOOKUP($D1690,Sheet1!$D$5:$F$192,3,TRUE),1)</f>
        <v>23</v>
      </c>
      <c r="M1690" s="41" t="str">
        <f>VLOOKUP($D1690,Sheet1!$D$5:$F$192,2,TRUE)</f>
        <v>(/|</v>
      </c>
      <c r="N1690" s="34">
        <f>FLOOR(VLOOKUP($D1690,Sheet1!$G$5:$I$192,3,TRUE),1)</f>
        <v>28</v>
      </c>
      <c r="O1690" s="41" t="str">
        <f>VLOOKUP($D1690,Sheet1!$G$5:$I$192,2,TRUE)</f>
        <v>(/|</v>
      </c>
      <c r="P1690" s="34">
        <v>1</v>
      </c>
      <c r="Q1690" s="41" t="str">
        <f>VLOOKUP($D1690,Sheet1!$J$5:$L$192,2,TRUE)</f>
        <v>(/|</v>
      </c>
      <c r="R1690" s="34">
        <f>FLOOR(VLOOKUP($D1690,Sheet1!$M$5:$O$192,3,TRUE),1)</f>
        <v>112</v>
      </c>
      <c r="S1690" s="41" t="str">
        <f>VLOOKUP($D1690,Sheet1!$M$5:$O$192,2,TRUE)</f>
        <v>(/|</v>
      </c>
      <c r="T1690" s="114" t="str">
        <f>IF(ABS(D1690-VLOOKUP($D1690,Sheet1!$M$5:$T$192,8,TRUE))&lt;10^-10,"SoCA",D1690-VLOOKUP($D1690,Sheet1!$M$5:$T$192,8,TRUE))</f>
        <v>SoCA</v>
      </c>
      <c r="U1690" s="126" t="str">
        <f>IF(VLOOKUP($D1690,Sheet1!$M$5:$U$192,9,TRUE)=0,"",IF(ABS(D1690-VLOOKUP($D1690,Sheet1!$M$5:$U$192,9,TRUE))&lt;10^-10,"Alt.",D1690-VLOOKUP($D1690,Sheet1!$M$5:$U$192,9,TRUE)))</f>
        <v/>
      </c>
      <c r="V1690" s="137">
        <f>$D1690-Sheet1!$M$3*$R1690</f>
        <v>-0.11868626445058084</v>
      </c>
    </row>
    <row r="1691" spans="1:22" ht="13.5">
      <c r="A1691" s="23" t="s">
        <v>1145</v>
      </c>
      <c r="B1691" s="23">
        <f>3^4*5</f>
        <v>405</v>
      </c>
      <c r="C1691" s="23">
        <f>2*11*19</f>
        <v>418</v>
      </c>
      <c r="D1691" s="13">
        <f t="shared" si="34"/>
        <v>54.697241170674829</v>
      </c>
      <c r="E1691" s="61">
        <v>19</v>
      </c>
      <c r="F1691" s="65">
        <v>43.807076475333645</v>
      </c>
      <c r="G1691" s="6">
        <v>918</v>
      </c>
      <c r="H1691" s="6">
        <v>994</v>
      </c>
      <c r="I1691" s="65">
        <v>-7.3679084117773215</v>
      </c>
      <c r="J1691" s="6">
        <f>VLOOKUP($D1691,Sheet1!$A$5:$C$192,3,TRUE)</f>
        <v>10</v>
      </c>
      <c r="K1691" s="42" t="str">
        <f>VLOOKUP($D1691,Sheet1!$A$5:$C$192,2,TRUE)</f>
        <v>/|\</v>
      </c>
      <c r="L1691" s="6">
        <f>FLOOR(VLOOKUP($D1691,Sheet1!$D$5:$F$192,3,TRUE),1)</f>
        <v>23</v>
      </c>
      <c r="M1691" s="42" t="str">
        <f>VLOOKUP($D1691,Sheet1!$D$5:$F$192,2,TRUE)</f>
        <v>(/|</v>
      </c>
      <c r="N1691" s="23">
        <f>FLOOR(VLOOKUP($D1691,Sheet1!$G$5:$I$192,3,TRUE),1)</f>
        <v>28</v>
      </c>
      <c r="O1691" s="42" t="str">
        <f>VLOOKUP($D1691,Sheet1!$G$5:$I$192,2,TRUE)</f>
        <v>(/|</v>
      </c>
      <c r="P1691" s="23">
        <v>1</v>
      </c>
      <c r="Q1691" s="43" t="str">
        <f>VLOOKUP($D1691,Sheet1!$J$5:$L$192,2,TRUE)</f>
        <v>(/|</v>
      </c>
      <c r="R1691" s="23">
        <f>FLOOR(VLOOKUP($D1691,Sheet1!$M$5:$O$192,3,TRUE),1)</f>
        <v>112</v>
      </c>
      <c r="S1691" s="43" t="str">
        <f>VLOOKUP($D1691,Sheet1!$M$5:$O$192,2,TRUE)</f>
        <v>(/|</v>
      </c>
      <c r="T1691" s="117">
        <f>IF(ABS(D1691-VLOOKUP($D1691,Sheet1!$M$5:$T$192,8,TRUE))&lt;10^-10,"SoCA",D1691-VLOOKUP($D1691,Sheet1!$M$5:$T$192,8,TRUE))</f>
        <v>0.16905757047418746</v>
      </c>
      <c r="U1691" s="109" t="str">
        <f>IF(VLOOKUP($D1691,Sheet1!$M$5:$U$192,9,TRUE)=0,"",IF(ABS(D1691-VLOOKUP($D1691,Sheet1!$M$5:$U$192,9,TRUE))&lt;10^-10,"Alt.",D1691-VLOOKUP($D1691,Sheet1!$M$5:$U$192,9,TRUE)))</f>
        <v/>
      </c>
      <c r="V1691" s="132">
        <f>$D1691-Sheet1!$M$3*$R1691</f>
        <v>5.0371306023606621E-2</v>
      </c>
    </row>
    <row r="1692" spans="1:22" ht="13.5">
      <c r="A1692" t="s">
        <v>1164</v>
      </c>
      <c r="B1692">
        <v>969</v>
      </c>
      <c r="C1692">
        <v>1000</v>
      </c>
      <c r="D1692" s="13">
        <f t="shared" si="34"/>
        <v>54.517715096407279</v>
      </c>
      <c r="E1692" s="61">
        <v>19</v>
      </c>
      <c r="F1692" s="65">
        <v>61.446637237772293</v>
      </c>
      <c r="G1692" s="6">
        <v>1067</v>
      </c>
      <c r="H1692" s="6">
        <v>1013</v>
      </c>
      <c r="I1692" s="65">
        <v>-4.3568543373355713</v>
      </c>
      <c r="J1692" s="6">
        <f>VLOOKUP($D1692,Sheet1!$A$5:$C$192,3,TRUE)</f>
        <v>10</v>
      </c>
      <c r="K1692" s="42" t="str">
        <f>VLOOKUP($D1692,Sheet1!$A$5:$C$192,2,TRUE)</f>
        <v>/|\</v>
      </c>
      <c r="L1692" s="6">
        <f>FLOOR(VLOOKUP($D1692,Sheet1!$D$5:$F$192,3,TRUE),1)</f>
        <v>23</v>
      </c>
      <c r="M1692" s="42" t="str">
        <f>VLOOKUP($D1692,Sheet1!$D$5:$F$192,2,TRUE)</f>
        <v>(/|</v>
      </c>
      <c r="N1692" s="23">
        <f>FLOOR(VLOOKUP($D1692,Sheet1!$G$5:$I$192,3,TRUE),1)</f>
        <v>28</v>
      </c>
      <c r="O1692" s="42" t="str">
        <f>VLOOKUP($D1692,Sheet1!$G$5:$I$192,2,TRUE)</f>
        <v>(/|</v>
      </c>
      <c r="P1692" s="23">
        <v>1</v>
      </c>
      <c r="Q1692" s="43" t="str">
        <f>VLOOKUP($D1692,Sheet1!$J$5:$L$192,2,TRUE)</f>
        <v>(/|</v>
      </c>
      <c r="R1692" s="23">
        <f>FLOOR(VLOOKUP($D1692,Sheet1!$M$5:$O$192,3,TRUE),1)</f>
        <v>112</v>
      </c>
      <c r="S1692" s="42" t="str">
        <f>VLOOKUP($D1692,Sheet1!$M$5:$O$192,2,TRUE)</f>
        <v>(/|</v>
      </c>
      <c r="T1692" s="117">
        <f>IF(ABS(D1692-VLOOKUP($D1692,Sheet1!$M$5:$T$192,8,TRUE))&lt;10^-10,"SoCA",D1692-VLOOKUP($D1692,Sheet1!$M$5:$T$192,8,TRUE))</f>
        <v>-1.0468503793362061E-2</v>
      </c>
      <c r="U1692" s="109" t="str">
        <f>IF(VLOOKUP($D1692,Sheet1!$M$5:$U$192,9,TRUE)=0,"",IF(ABS(D1692-VLOOKUP($D1692,Sheet1!$M$5:$U$192,9,TRUE))&lt;10^-10,"Alt.",D1692-VLOOKUP($D1692,Sheet1!$M$5:$U$192,9,TRUE)))</f>
        <v/>
      </c>
      <c r="V1692" s="132">
        <f>$D1692-Sheet1!$M$3*$R1692</f>
        <v>-0.1291547682439429</v>
      </c>
    </row>
    <row r="1693" spans="1:22" ht="13.5">
      <c r="A1693" t="s">
        <v>1665</v>
      </c>
      <c r="B1693">
        <v>83835</v>
      </c>
      <c r="C1693">
        <v>86528</v>
      </c>
      <c r="D1693" s="13">
        <f t="shared" si="34"/>
        <v>54.737257213046441</v>
      </c>
      <c r="E1693" s="61">
        <v>23</v>
      </c>
      <c r="F1693" s="65">
        <v>62.070473325960833</v>
      </c>
      <c r="G1693" s="6">
        <v>1574</v>
      </c>
      <c r="H1693" s="6">
        <v>1514</v>
      </c>
      <c r="I1693" s="65">
        <v>-9.3703723452925214</v>
      </c>
      <c r="J1693" s="6">
        <f>VLOOKUP($D1693,Sheet1!$A$5:$C$192,3,TRUE)</f>
        <v>10</v>
      </c>
      <c r="K1693" s="42" t="str">
        <f>VLOOKUP($D1693,Sheet1!$A$5:$C$192,2,TRUE)</f>
        <v>/|\</v>
      </c>
      <c r="L1693" s="6">
        <f>FLOOR(VLOOKUP($D1693,Sheet1!$D$5:$F$192,3,TRUE),1)</f>
        <v>23</v>
      </c>
      <c r="M1693" s="42" t="str">
        <f>VLOOKUP($D1693,Sheet1!$D$5:$F$192,2,TRUE)</f>
        <v>(/|</v>
      </c>
      <c r="N1693" s="23">
        <f>FLOOR(VLOOKUP($D1693,Sheet1!$G$5:$I$192,3,TRUE),1)</f>
        <v>28</v>
      </c>
      <c r="O1693" s="42" t="str">
        <f>VLOOKUP($D1693,Sheet1!$G$5:$I$192,2,TRUE)</f>
        <v>(/|</v>
      </c>
      <c r="P1693" s="23">
        <v>1</v>
      </c>
      <c r="Q1693" s="43" t="str">
        <f>VLOOKUP($D1693,Sheet1!$J$5:$L$192,2,TRUE)</f>
        <v>(/|</v>
      </c>
      <c r="R1693" s="23">
        <f>FLOOR(VLOOKUP($D1693,Sheet1!$M$5:$O$192,3,TRUE),1)</f>
        <v>112</v>
      </c>
      <c r="S1693" s="42" t="str">
        <f>VLOOKUP($D1693,Sheet1!$M$5:$O$192,2,TRUE)</f>
        <v>(/|</v>
      </c>
      <c r="T1693" s="117">
        <f>IF(ABS(D1693-VLOOKUP($D1693,Sheet1!$M$5:$T$192,8,TRUE))&lt;10^-10,"SoCA",D1693-VLOOKUP($D1693,Sheet1!$M$5:$T$192,8,TRUE))</f>
        <v>0.20907361284579906</v>
      </c>
      <c r="U1693" s="109" t="str">
        <f>IF(VLOOKUP($D1693,Sheet1!$M$5:$U$192,9,TRUE)=0,"",IF(ABS(D1693-VLOOKUP($D1693,Sheet1!$M$5:$U$192,9,TRUE))&lt;10^-10,"Alt.",D1693-VLOOKUP($D1693,Sheet1!$M$5:$U$192,9,TRUE)))</f>
        <v/>
      </c>
      <c r="V1693" s="132">
        <f>$D1693-Sheet1!$M$3*$R1693</f>
        <v>9.0387348395218226E-2</v>
      </c>
    </row>
    <row r="1694" spans="1:22" ht="13.5">
      <c r="A1694" s="23" t="s">
        <v>303</v>
      </c>
      <c r="B1694" s="23">
        <f>2^16*5*11</f>
        <v>3604480</v>
      </c>
      <c r="C1694" s="23">
        <f>3^12*7</f>
        <v>3720087</v>
      </c>
      <c r="D1694" s="13">
        <f t="shared" si="34"/>
        <v>54.654260624182299</v>
      </c>
      <c r="E1694" s="61">
        <v>11</v>
      </c>
      <c r="F1694" s="65">
        <v>67.551405482880526</v>
      </c>
      <c r="G1694" s="6">
        <v>111.1</v>
      </c>
      <c r="H1694" s="6">
        <v>132.1</v>
      </c>
      <c r="I1694" s="65">
        <v>8.6347380570568788</v>
      </c>
      <c r="J1694" s="6">
        <f>VLOOKUP($D1694,Sheet1!$A$5:$C$192,3,TRUE)</f>
        <v>10</v>
      </c>
      <c r="K1694" s="42" t="str">
        <f>VLOOKUP($D1694,Sheet1!$A$5:$C$192,2,TRUE)</f>
        <v>/|\</v>
      </c>
      <c r="L1694" s="23">
        <f>FLOOR(VLOOKUP($D1694,Sheet1!$D$5:$F$192,3,TRUE),1)</f>
        <v>23</v>
      </c>
      <c r="M1694" s="43" t="str">
        <f>VLOOKUP($D1694,Sheet1!$D$5:$F$192,2,TRUE)</f>
        <v>(/|</v>
      </c>
      <c r="N1694" s="23">
        <f>FLOOR(VLOOKUP($D1694,Sheet1!$G$5:$I$192,3,TRUE),1)</f>
        <v>28</v>
      </c>
      <c r="O1694" s="43" t="str">
        <f>VLOOKUP($D1694,Sheet1!$G$5:$I$192,2,TRUE)</f>
        <v>(/|</v>
      </c>
      <c r="P1694" s="23">
        <v>1</v>
      </c>
      <c r="Q1694" s="43" t="str">
        <f>VLOOKUP($D1694,Sheet1!$J$5:$L$192,2,TRUE)</f>
        <v>(/|</v>
      </c>
      <c r="R1694" s="23">
        <f>FLOOR(VLOOKUP($D1694,Sheet1!$M$5:$O$192,3,TRUE),1)</f>
        <v>112</v>
      </c>
      <c r="S1694" s="43" t="str">
        <f>VLOOKUP($D1694,Sheet1!$M$5:$O$192,2,TRUE)</f>
        <v>(/|</v>
      </c>
      <c r="T1694" s="117">
        <f>IF(ABS(D1694-VLOOKUP($D1694,Sheet1!$M$5:$T$192,8,TRUE))&lt;10^-10,"SoCA",D1694-VLOOKUP($D1694,Sheet1!$M$5:$T$192,8,TRUE))</f>
        <v>0.12607702398165799</v>
      </c>
      <c r="U1694" s="117" t="str">
        <f>IF(VLOOKUP($D1694,Sheet1!$M$5:$U$192,9,TRUE)=0,"",IF(ABS(D1694-VLOOKUP($D1694,Sheet1!$M$5:$U$192,9,TRUE))&lt;10^-10,"Alt.",D1694-VLOOKUP($D1694,Sheet1!$M$5:$U$192,9,TRUE)))</f>
        <v/>
      </c>
      <c r="V1694" s="132">
        <f>$D1694-Sheet1!$M$3*$R1694</f>
        <v>7.3907595310771512E-3</v>
      </c>
    </row>
    <row r="1695" spans="1:22" ht="13.5">
      <c r="A1695" s="6" t="s">
        <v>858</v>
      </c>
      <c r="B1695" s="6">
        <f>5^6</f>
        <v>15625</v>
      </c>
      <c r="C1695" s="6">
        <f>2^8*3^2*7</f>
        <v>16128</v>
      </c>
      <c r="D1695" s="13">
        <f t="shared" si="34"/>
        <v>54.853625010890866</v>
      </c>
      <c r="E1695" s="61">
        <v>7</v>
      </c>
      <c r="F1695" s="65">
        <v>74.066769324871956</v>
      </c>
      <c r="G1695" s="6">
        <v>772</v>
      </c>
      <c r="H1695" s="6">
        <v>705</v>
      </c>
      <c r="I1695" s="65">
        <v>-1.377537534556772</v>
      </c>
      <c r="J1695" s="6">
        <f>VLOOKUP($D1695,Sheet1!$A$5:$C$192,3,TRUE)</f>
        <v>10</v>
      </c>
      <c r="K1695" s="42" t="str">
        <f>VLOOKUP($D1695,Sheet1!$A$5:$C$192,2,TRUE)</f>
        <v>/|\</v>
      </c>
      <c r="L1695" s="6">
        <f>FLOOR(VLOOKUP($D1695,Sheet1!$D$5:$F$192,3,TRUE),1)</f>
        <v>23</v>
      </c>
      <c r="M1695" s="42" t="str">
        <f>VLOOKUP($D1695,Sheet1!$D$5:$F$192,2,TRUE)</f>
        <v>(/|</v>
      </c>
      <c r="N1695" s="23">
        <f>FLOOR(VLOOKUP($D1695,Sheet1!$G$5:$I$192,3,TRUE),1)</f>
        <v>28</v>
      </c>
      <c r="O1695" s="42" t="str">
        <f>VLOOKUP($D1695,Sheet1!$G$5:$I$192,2,TRUE)</f>
        <v>(/|</v>
      </c>
      <c r="P1695" s="23">
        <v>1</v>
      </c>
      <c r="Q1695" s="43" t="str">
        <f>VLOOKUP($D1695,Sheet1!$J$5:$L$192,2,TRUE)</f>
        <v>(/|</v>
      </c>
      <c r="R1695" s="23">
        <f>FLOOR(VLOOKUP($D1695,Sheet1!$M$5:$O$192,3,TRUE),1)</f>
        <v>112</v>
      </c>
      <c r="S1695" s="42" t="str">
        <f>VLOOKUP($D1695,Sheet1!$M$5:$O$192,2,TRUE)</f>
        <v>(/|</v>
      </c>
      <c r="T1695" s="117">
        <f>IF(ABS(D1695-VLOOKUP($D1695,Sheet1!$M$5:$T$192,8,TRUE))&lt;10^-10,"SoCA",D1695-VLOOKUP($D1695,Sheet1!$M$5:$T$192,8,TRUE))</f>
        <v>0.32544141069022459</v>
      </c>
      <c r="U1695" s="109" t="str">
        <f>IF(VLOOKUP($D1695,Sheet1!$M$5:$U$192,9,TRUE)=0,"",IF(ABS(D1695-VLOOKUP($D1695,Sheet1!$M$5:$U$192,9,TRUE))&lt;10^-10,"Alt.",D1695-VLOOKUP($D1695,Sheet1!$M$5:$U$192,9,TRUE)))</f>
        <v/>
      </c>
      <c r="V1695" s="132">
        <f>$D1695-Sheet1!$M$3*$R1695</f>
        <v>0.20675514623964375</v>
      </c>
    </row>
    <row r="1696" spans="1:22" ht="13.5">
      <c r="A1696" s="6" t="s">
        <v>1190</v>
      </c>
      <c r="B1696" s="6">
        <f>2*11*17^2</f>
        <v>6358</v>
      </c>
      <c r="C1696" s="6">
        <f>3^8</f>
        <v>6561</v>
      </c>
      <c r="D1696" s="13">
        <f t="shared" si="34"/>
        <v>54.411245557528176</v>
      </c>
      <c r="E1696" s="61">
        <v>17</v>
      </c>
      <c r="F1696" s="65">
        <v>74.989410607809603</v>
      </c>
      <c r="G1696" s="6">
        <v>1095.0999999999999</v>
      </c>
      <c r="H1696" s="6">
        <v>1039.0999999999999</v>
      </c>
      <c r="I1696" s="65">
        <v>4.6497013800628633</v>
      </c>
      <c r="J1696" s="6">
        <f>VLOOKUP($D1696,Sheet1!$A$5:$C$192,3,TRUE)</f>
        <v>10</v>
      </c>
      <c r="K1696" s="42" t="str">
        <f>VLOOKUP($D1696,Sheet1!$A$5:$C$192,2,TRUE)</f>
        <v>/|\</v>
      </c>
      <c r="L1696" s="6">
        <f>FLOOR(VLOOKUP($D1696,Sheet1!$D$5:$F$192,3,TRUE),1)</f>
        <v>23</v>
      </c>
      <c r="M1696" s="42" t="str">
        <f>VLOOKUP($D1696,Sheet1!$D$5:$F$192,2,TRUE)</f>
        <v>(/|</v>
      </c>
      <c r="N1696" s="23">
        <f>FLOOR(VLOOKUP($D1696,Sheet1!$G$5:$I$192,3,TRUE),1)</f>
        <v>28</v>
      </c>
      <c r="O1696" s="42" t="str">
        <f>VLOOKUP($D1696,Sheet1!$G$5:$I$192,2,TRUE)</f>
        <v>(/|</v>
      </c>
      <c r="P1696" s="23">
        <v>1</v>
      </c>
      <c r="Q1696" s="43" t="str">
        <f>VLOOKUP($D1696,Sheet1!$J$5:$L$192,2,TRUE)</f>
        <v>(/|</v>
      </c>
      <c r="R1696" s="23">
        <f>FLOOR(VLOOKUP($D1696,Sheet1!$M$5:$O$192,3,TRUE),1)</f>
        <v>112</v>
      </c>
      <c r="S1696" s="42" t="str">
        <f>VLOOKUP($D1696,Sheet1!$M$5:$O$192,2,TRUE)</f>
        <v>(/|</v>
      </c>
      <c r="T1696" s="117">
        <f>IF(ABS(D1696-VLOOKUP($D1696,Sheet1!$M$5:$T$192,8,TRUE))&lt;10^-10,"SoCA",D1696-VLOOKUP($D1696,Sheet1!$M$5:$T$192,8,TRUE))</f>
        <v>-0.11693804267246577</v>
      </c>
      <c r="U1696" s="109" t="str">
        <f>IF(VLOOKUP($D1696,Sheet1!$M$5:$U$192,9,TRUE)=0,"",IF(ABS(D1696-VLOOKUP($D1696,Sheet1!$M$5:$U$192,9,TRUE))&lt;10^-10,"Alt.",D1696-VLOOKUP($D1696,Sheet1!$M$5:$U$192,9,TRUE)))</f>
        <v/>
      </c>
      <c r="V1696" s="132">
        <f>$D1696-Sheet1!$M$3*$R1696</f>
        <v>-0.23562430712304661</v>
      </c>
    </row>
    <row r="1697" spans="1:22" ht="13.5">
      <c r="A1697" s="6" t="s">
        <v>401</v>
      </c>
      <c r="B1697" s="6">
        <f>2^23</f>
        <v>8388608</v>
      </c>
      <c r="C1697" s="6">
        <f>3^6*5^4*19</f>
        <v>8656875</v>
      </c>
      <c r="D1697" s="13">
        <f t="shared" si="34"/>
        <v>54.497876783966376</v>
      </c>
      <c r="E1697" s="61">
        <v>19</v>
      </c>
      <c r="F1697" s="65">
        <v>78.720604399643051</v>
      </c>
      <c r="G1697" s="6">
        <v>259</v>
      </c>
      <c r="H1697" s="6">
        <v>238</v>
      </c>
      <c r="I1697" s="65">
        <v>2.6443671798363226</v>
      </c>
      <c r="J1697" s="6">
        <f>VLOOKUP($D1697,Sheet1!$A$5:$C$192,3,TRUE)</f>
        <v>10</v>
      </c>
      <c r="K1697" s="42" t="str">
        <f>VLOOKUP($D1697,Sheet1!$A$5:$C$192,2,TRUE)</f>
        <v>/|\</v>
      </c>
      <c r="L1697" s="6">
        <f>FLOOR(VLOOKUP($D1697,Sheet1!$D$5:$F$192,3,TRUE),1)</f>
        <v>23</v>
      </c>
      <c r="M1697" s="42" t="str">
        <f>VLOOKUP($D1697,Sheet1!$D$5:$F$192,2,TRUE)</f>
        <v>(/|</v>
      </c>
      <c r="N1697" s="23">
        <f>FLOOR(VLOOKUP($D1697,Sheet1!$G$5:$I$192,3,TRUE),1)</f>
        <v>28</v>
      </c>
      <c r="O1697" s="42" t="str">
        <f>VLOOKUP($D1697,Sheet1!$G$5:$I$192,2,TRUE)</f>
        <v>(/|</v>
      </c>
      <c r="P1697" s="23">
        <v>1</v>
      </c>
      <c r="Q1697" s="43" t="str">
        <f>VLOOKUP($D1697,Sheet1!$J$5:$L$192,2,TRUE)</f>
        <v>(/|</v>
      </c>
      <c r="R1697" s="23">
        <f>FLOOR(VLOOKUP($D1697,Sheet1!$M$5:$O$192,3,TRUE),1)</f>
        <v>112</v>
      </c>
      <c r="S1697" s="42" t="str">
        <f>VLOOKUP($D1697,Sheet1!$M$5:$O$192,2,TRUE)</f>
        <v>(/|</v>
      </c>
      <c r="T1697" s="117">
        <f>IF(ABS(D1697-VLOOKUP($D1697,Sheet1!$M$5:$T$192,8,TRUE))&lt;10^-10,"SoCA",D1697-VLOOKUP($D1697,Sheet1!$M$5:$T$192,8,TRUE))</f>
        <v>-3.0306816234265455E-2</v>
      </c>
      <c r="U1697" s="109" t="str">
        <f>IF(VLOOKUP($D1697,Sheet1!$M$5:$U$192,9,TRUE)=0,"",IF(ABS(D1697-VLOOKUP($D1697,Sheet1!$M$5:$U$192,9,TRUE))&lt;10^-10,"Alt.",D1697-VLOOKUP($D1697,Sheet1!$M$5:$U$192,9,TRUE)))</f>
        <v/>
      </c>
      <c r="V1697" s="132">
        <f>$D1697-Sheet1!$M$3*$R1697</f>
        <v>-0.14899308068484629</v>
      </c>
    </row>
    <row r="1698" spans="1:22" ht="13.5">
      <c r="A1698" t="s">
        <v>717</v>
      </c>
      <c r="B1698">
        <v>425984</v>
      </c>
      <c r="C1698">
        <v>439587</v>
      </c>
      <c r="D1698" s="13">
        <f t="shared" si="34"/>
        <v>54.419373703115753</v>
      </c>
      <c r="E1698" s="61" t="s">
        <v>1931</v>
      </c>
      <c r="F1698" s="65">
        <v>83.421449412668693</v>
      </c>
      <c r="G1698" s="6">
        <v>602</v>
      </c>
      <c r="H1698" s="6">
        <v>562</v>
      </c>
      <c r="I1698" s="65">
        <v>4.6492009005265906</v>
      </c>
      <c r="J1698" s="6">
        <f>VLOOKUP($D1698,Sheet1!$A$5:$C$192,3,TRUE)</f>
        <v>10</v>
      </c>
      <c r="K1698" s="42" t="str">
        <f>VLOOKUP($D1698,Sheet1!$A$5:$C$192,2,TRUE)</f>
        <v>/|\</v>
      </c>
      <c r="L1698" s="6">
        <f>FLOOR(VLOOKUP($D1698,Sheet1!$D$5:$F$192,3,TRUE),1)</f>
        <v>23</v>
      </c>
      <c r="M1698" s="42" t="str">
        <f>VLOOKUP($D1698,Sheet1!$D$5:$F$192,2,TRUE)</f>
        <v>(/|</v>
      </c>
      <c r="N1698" s="23">
        <f>FLOOR(VLOOKUP($D1698,Sheet1!$G$5:$I$192,3,TRUE),1)</f>
        <v>28</v>
      </c>
      <c r="O1698" s="42" t="str">
        <f>VLOOKUP($D1698,Sheet1!$G$5:$I$192,2,TRUE)</f>
        <v>(/|</v>
      </c>
      <c r="P1698" s="23">
        <v>1</v>
      </c>
      <c r="Q1698" s="43" t="str">
        <f>VLOOKUP($D1698,Sheet1!$J$5:$L$192,2,TRUE)</f>
        <v>(/|</v>
      </c>
      <c r="R1698" s="23">
        <f>FLOOR(VLOOKUP($D1698,Sheet1!$M$5:$O$192,3,TRUE),1)</f>
        <v>112</v>
      </c>
      <c r="S1698" s="42" t="str">
        <f>VLOOKUP($D1698,Sheet1!$M$5:$O$192,2,TRUE)</f>
        <v>(/|</v>
      </c>
      <c r="T1698" s="117">
        <f>IF(ABS(D1698-VLOOKUP($D1698,Sheet1!$M$5:$T$192,8,TRUE))&lt;10^-10,"SoCA",D1698-VLOOKUP($D1698,Sheet1!$M$5:$T$192,8,TRUE))</f>
        <v>-0.10880989708488897</v>
      </c>
      <c r="U1698" s="109" t="str">
        <f>IF(VLOOKUP($D1698,Sheet1!$M$5:$U$192,9,TRUE)=0,"",IF(ABS(D1698-VLOOKUP($D1698,Sheet1!$M$5:$U$192,9,TRUE))&lt;10^-10,"Alt.",D1698-VLOOKUP($D1698,Sheet1!$M$5:$U$192,9,TRUE)))</f>
        <v/>
      </c>
      <c r="V1698" s="132">
        <f>$D1698-Sheet1!$M$3*$R1698</f>
        <v>-0.22749616153546981</v>
      </c>
    </row>
    <row r="1699" spans="1:22" ht="13.5">
      <c r="A1699" t="s">
        <v>1188</v>
      </c>
      <c r="B1699">
        <v>293601280</v>
      </c>
      <c r="C1699">
        <v>303046029</v>
      </c>
      <c r="D1699" s="13">
        <f t="shared" ref="D1699:D1730" si="35">1200*LN($C1699/$B1699)/LN(2)</f>
        <v>54.814416355916748</v>
      </c>
      <c r="E1699" s="61">
        <v>19</v>
      </c>
      <c r="F1699" s="65">
        <v>104.13675955749868</v>
      </c>
      <c r="G1699" s="6">
        <v>1093</v>
      </c>
      <c r="H1699" s="6">
        <v>1037</v>
      </c>
      <c r="I1699" s="65">
        <v>4.6248766851748915</v>
      </c>
      <c r="J1699" s="6">
        <f>VLOOKUP($D1699,Sheet1!$A$5:$C$192,3,TRUE)</f>
        <v>10</v>
      </c>
      <c r="K1699" s="42" t="str">
        <f>VLOOKUP($D1699,Sheet1!$A$5:$C$192,2,TRUE)</f>
        <v>/|\</v>
      </c>
      <c r="L1699" s="6">
        <f>FLOOR(VLOOKUP($D1699,Sheet1!$D$5:$F$192,3,TRUE),1)</f>
        <v>23</v>
      </c>
      <c r="M1699" s="42" t="str">
        <f>VLOOKUP($D1699,Sheet1!$D$5:$F$192,2,TRUE)</f>
        <v>(/|</v>
      </c>
      <c r="N1699" s="23">
        <f>FLOOR(VLOOKUP($D1699,Sheet1!$G$5:$I$192,3,TRUE),1)</f>
        <v>28</v>
      </c>
      <c r="O1699" s="42" t="str">
        <f>VLOOKUP($D1699,Sheet1!$G$5:$I$192,2,TRUE)</f>
        <v>(/|</v>
      </c>
      <c r="P1699" s="23">
        <v>1</v>
      </c>
      <c r="Q1699" s="43" t="str">
        <f>VLOOKUP($D1699,Sheet1!$J$5:$L$192,2,TRUE)</f>
        <v>(/|</v>
      </c>
      <c r="R1699" s="23">
        <f>FLOOR(VLOOKUP($D1699,Sheet1!$M$5:$O$192,3,TRUE),1)</f>
        <v>112</v>
      </c>
      <c r="S1699" s="42" t="str">
        <f>VLOOKUP($D1699,Sheet1!$M$5:$O$192,2,TRUE)</f>
        <v>(/|</v>
      </c>
      <c r="T1699" s="117">
        <f>IF(ABS(D1699-VLOOKUP($D1699,Sheet1!$M$5:$T$192,8,TRUE))&lt;10^-10,"SoCA",D1699-VLOOKUP($D1699,Sheet1!$M$5:$T$192,8,TRUE))</f>
        <v>0.28623275571610662</v>
      </c>
      <c r="U1699" s="109" t="str">
        <f>IF(VLOOKUP($D1699,Sheet1!$M$5:$U$192,9,TRUE)=0,"",IF(ABS(D1699-VLOOKUP($D1699,Sheet1!$M$5:$U$192,9,TRUE))&lt;10^-10,"Alt.",D1699-VLOOKUP($D1699,Sheet1!$M$5:$U$192,9,TRUE)))</f>
        <v/>
      </c>
      <c r="V1699" s="132">
        <f>$D1699-Sheet1!$M$3*$R1699</f>
        <v>0.16754649126552579</v>
      </c>
    </row>
    <row r="1700" spans="1:22" ht="13.5">
      <c r="A1700" t="s">
        <v>599</v>
      </c>
      <c r="B1700">
        <v>218</v>
      </c>
      <c r="C1700">
        <v>225</v>
      </c>
      <c r="D1700" s="13">
        <f t="shared" si="35"/>
        <v>54.716239728132706</v>
      </c>
      <c r="E1700" s="61" t="s">
        <v>1931</v>
      </c>
      <c r="F1700" s="65">
        <v>142.88720325802038</v>
      </c>
      <c r="G1700" s="6">
        <v>491</v>
      </c>
      <c r="H1700" s="6">
        <v>444</v>
      </c>
      <c r="I1700" s="65">
        <v>-1.3690782221755167</v>
      </c>
      <c r="J1700" s="6">
        <f>VLOOKUP($D1700,Sheet1!$A$5:$C$192,3,TRUE)</f>
        <v>10</v>
      </c>
      <c r="K1700" s="42" t="str">
        <f>VLOOKUP($D1700,Sheet1!$A$5:$C$192,2,TRUE)</f>
        <v>/|\</v>
      </c>
      <c r="L1700" s="6">
        <f>FLOOR(VLOOKUP($D1700,Sheet1!$D$5:$F$192,3,TRUE),1)</f>
        <v>23</v>
      </c>
      <c r="M1700" s="42" t="str">
        <f>VLOOKUP($D1700,Sheet1!$D$5:$F$192,2,TRUE)</f>
        <v>(/|</v>
      </c>
      <c r="N1700" s="23">
        <f>FLOOR(VLOOKUP($D1700,Sheet1!$G$5:$I$192,3,TRUE),1)</f>
        <v>28</v>
      </c>
      <c r="O1700" s="42" t="str">
        <f>VLOOKUP($D1700,Sheet1!$G$5:$I$192,2,TRUE)</f>
        <v>(/|</v>
      </c>
      <c r="P1700" s="23">
        <v>1</v>
      </c>
      <c r="Q1700" s="43" t="str">
        <f>VLOOKUP($D1700,Sheet1!$J$5:$L$192,2,TRUE)</f>
        <v>(/|</v>
      </c>
      <c r="R1700" s="23">
        <f>FLOOR(VLOOKUP($D1700,Sheet1!$M$5:$O$192,3,TRUE),1)</f>
        <v>112</v>
      </c>
      <c r="S1700" s="42" t="str">
        <f>VLOOKUP($D1700,Sheet1!$M$5:$O$192,2,TRUE)</f>
        <v>(/|</v>
      </c>
      <c r="T1700" s="117">
        <f>IF(ABS(D1700-VLOOKUP($D1700,Sheet1!$M$5:$T$192,8,TRUE))&lt;10^-10,"SoCA",D1700-VLOOKUP($D1700,Sheet1!$M$5:$T$192,8,TRUE))</f>
        <v>0.1880561279320645</v>
      </c>
      <c r="U1700" s="109" t="str">
        <f>IF(VLOOKUP($D1700,Sheet1!$M$5:$U$192,9,TRUE)=0,"",IF(ABS(D1700-VLOOKUP($D1700,Sheet1!$M$5:$U$192,9,TRUE))&lt;10^-10,"Alt.",D1700-VLOOKUP($D1700,Sheet1!$M$5:$U$192,9,TRUE)))</f>
        <v/>
      </c>
      <c r="V1700" s="132">
        <f>$D1700-Sheet1!$M$3*$R1700</f>
        <v>6.9369863481483662E-2</v>
      </c>
    </row>
    <row r="1701" spans="1:22" ht="13.5">
      <c r="A1701" t="s">
        <v>669</v>
      </c>
      <c r="B1701">
        <v>9765625</v>
      </c>
      <c r="C1701">
        <v>10077696</v>
      </c>
      <c r="D1701" s="13">
        <f t="shared" si="35"/>
        <v>54.457869140138463</v>
      </c>
      <c r="E1701" s="61">
        <v>5</v>
      </c>
      <c r="F1701" s="65">
        <v>156.13472227203064</v>
      </c>
      <c r="G1701" s="6">
        <v>536</v>
      </c>
      <c r="H1701" s="6">
        <v>514</v>
      </c>
      <c r="I1701" s="65">
        <v>5.6468305962225891</v>
      </c>
      <c r="J1701" s="6">
        <f>VLOOKUP($D1701,Sheet1!$A$5:$C$192,3,TRUE)</f>
        <v>10</v>
      </c>
      <c r="K1701" s="42" t="str">
        <f>VLOOKUP($D1701,Sheet1!$A$5:$C$192,2,TRUE)</f>
        <v>/|\</v>
      </c>
      <c r="L1701" s="6">
        <f>FLOOR(VLOOKUP($D1701,Sheet1!$D$5:$F$192,3,TRUE),1)</f>
        <v>23</v>
      </c>
      <c r="M1701" s="42" t="str">
        <f>VLOOKUP($D1701,Sheet1!$D$5:$F$192,2,TRUE)</f>
        <v>(/|</v>
      </c>
      <c r="N1701" s="23">
        <f>FLOOR(VLOOKUP($D1701,Sheet1!$G$5:$I$192,3,TRUE),1)</f>
        <v>28</v>
      </c>
      <c r="O1701" s="42" t="str">
        <f>VLOOKUP($D1701,Sheet1!$G$5:$I$192,2,TRUE)</f>
        <v>(/|</v>
      </c>
      <c r="P1701" s="23">
        <v>1</v>
      </c>
      <c r="Q1701" s="43" t="str">
        <f>VLOOKUP($D1701,Sheet1!$J$5:$L$192,2,TRUE)</f>
        <v>(/|</v>
      </c>
      <c r="R1701" s="23">
        <f>FLOOR(VLOOKUP($D1701,Sheet1!$M$5:$O$192,3,TRUE),1)</f>
        <v>112</v>
      </c>
      <c r="S1701" s="42" t="str">
        <f>VLOOKUP($D1701,Sheet1!$M$5:$O$192,2,TRUE)</f>
        <v>(/|</v>
      </c>
      <c r="T1701" s="117">
        <f>IF(ABS(D1701-VLOOKUP($D1701,Sheet1!$M$5:$T$192,8,TRUE))&lt;10^-10,"SoCA",D1701-VLOOKUP($D1701,Sheet1!$M$5:$T$192,8,TRUE))</f>
        <v>-7.0314460062178341E-2</v>
      </c>
      <c r="U1701" s="109" t="str">
        <f>IF(VLOOKUP($D1701,Sheet1!$M$5:$U$192,9,TRUE)=0,"",IF(ABS(D1701-VLOOKUP($D1701,Sheet1!$M$5:$U$192,9,TRUE))&lt;10^-10,"Alt.",D1701-VLOOKUP($D1701,Sheet1!$M$5:$U$192,9,TRUE)))</f>
        <v/>
      </c>
      <c r="V1701" s="132">
        <f>$D1701-Sheet1!$M$3*$R1701</f>
        <v>-0.18900072451275918</v>
      </c>
    </row>
    <row r="1702" spans="1:22" ht="13.5">
      <c r="A1702" t="s">
        <v>517</v>
      </c>
      <c r="B1702">
        <v>19072</v>
      </c>
      <c r="C1702">
        <v>19683</v>
      </c>
      <c r="D1702" s="13">
        <f t="shared" si="35"/>
        <v>54.59278323389286</v>
      </c>
      <c r="E1702" s="61" t="s">
        <v>1931</v>
      </c>
      <c r="F1702" s="65">
        <v>186.58586905258431</v>
      </c>
      <c r="G1702" s="6">
        <v>372</v>
      </c>
      <c r="H1702" s="6">
        <v>358</v>
      </c>
      <c r="I1702" s="65">
        <v>5.6385234439513274</v>
      </c>
      <c r="J1702" s="6">
        <f>VLOOKUP($D1702,Sheet1!$A$5:$C$192,3,TRUE)</f>
        <v>10</v>
      </c>
      <c r="K1702" s="42" t="str">
        <f>VLOOKUP($D1702,Sheet1!$A$5:$C$192,2,TRUE)</f>
        <v>/|\</v>
      </c>
      <c r="L1702" s="6">
        <f>FLOOR(VLOOKUP($D1702,Sheet1!$D$5:$F$192,3,TRUE),1)</f>
        <v>23</v>
      </c>
      <c r="M1702" s="42" t="str">
        <f>VLOOKUP($D1702,Sheet1!$D$5:$F$192,2,TRUE)</f>
        <v>(/|</v>
      </c>
      <c r="N1702" s="23">
        <f>FLOOR(VLOOKUP($D1702,Sheet1!$G$5:$I$192,3,TRUE),1)</f>
        <v>28</v>
      </c>
      <c r="O1702" s="42" t="str">
        <f>VLOOKUP($D1702,Sheet1!$G$5:$I$192,2,TRUE)</f>
        <v>(/|</v>
      </c>
      <c r="P1702" s="23">
        <v>1</v>
      </c>
      <c r="Q1702" s="43" t="str">
        <f>VLOOKUP($D1702,Sheet1!$J$5:$L$192,2,TRUE)</f>
        <v>(/|</v>
      </c>
      <c r="R1702" s="23">
        <f>FLOOR(VLOOKUP($D1702,Sheet1!$M$5:$O$192,3,TRUE),1)</f>
        <v>112</v>
      </c>
      <c r="S1702" s="42" t="str">
        <f>VLOOKUP($D1702,Sheet1!$M$5:$O$192,2,TRUE)</f>
        <v>(/|</v>
      </c>
      <c r="T1702" s="117">
        <f>IF(ABS(D1702-VLOOKUP($D1702,Sheet1!$M$5:$T$192,8,TRUE))&lt;10^-10,"SoCA",D1702-VLOOKUP($D1702,Sheet1!$M$5:$T$192,8,TRUE))</f>
        <v>6.4599633692218106E-2</v>
      </c>
      <c r="U1702" s="109" t="str">
        <f>IF(VLOOKUP($D1702,Sheet1!$M$5:$U$192,9,TRUE)=0,"",IF(ABS(D1702-VLOOKUP($D1702,Sheet1!$M$5:$U$192,9,TRUE))&lt;10^-10,"Alt.",D1702-VLOOKUP($D1702,Sheet1!$M$5:$U$192,9,TRUE)))</f>
        <v/>
      </c>
      <c r="V1702" s="132">
        <f>$D1702-Sheet1!$M$3*$R1702</f>
        <v>-5.408663075836273E-2</v>
      </c>
    </row>
    <row r="1703" spans="1:22" ht="13.5">
      <c r="A1703" t="s">
        <v>763</v>
      </c>
      <c r="B1703">
        <v>40000</v>
      </c>
      <c r="C1703">
        <v>41283</v>
      </c>
      <c r="D1703" s="13">
        <f t="shared" si="35"/>
        <v>54.65737676978874</v>
      </c>
      <c r="E1703" s="61" t="s">
        <v>1931</v>
      </c>
      <c r="F1703" s="65">
        <v>238.13206159661243</v>
      </c>
      <c r="G1703" s="6">
        <v>720</v>
      </c>
      <c r="H1703" s="6">
        <v>609</v>
      </c>
      <c r="I1703" s="65">
        <v>-0.36545381538084554</v>
      </c>
      <c r="J1703" s="6">
        <f>VLOOKUP($D1703,Sheet1!$A$5:$C$192,3,TRUE)</f>
        <v>10</v>
      </c>
      <c r="K1703" s="42" t="str">
        <f>VLOOKUP($D1703,Sheet1!$A$5:$C$192,2,TRUE)</f>
        <v>/|\</v>
      </c>
      <c r="L1703" s="6">
        <f>FLOOR(VLOOKUP($D1703,Sheet1!$D$5:$F$192,3,TRUE),1)</f>
        <v>23</v>
      </c>
      <c r="M1703" s="42" t="str">
        <f>VLOOKUP($D1703,Sheet1!$D$5:$F$192,2,TRUE)</f>
        <v>(/|</v>
      </c>
      <c r="N1703" s="23">
        <f>FLOOR(VLOOKUP($D1703,Sheet1!$G$5:$I$192,3,TRUE),1)</f>
        <v>28</v>
      </c>
      <c r="O1703" s="42" t="str">
        <f>VLOOKUP($D1703,Sheet1!$G$5:$I$192,2,TRUE)</f>
        <v>(/|</v>
      </c>
      <c r="P1703" s="23">
        <v>1</v>
      </c>
      <c r="Q1703" s="43" t="str">
        <f>VLOOKUP($D1703,Sheet1!$J$5:$L$192,2,TRUE)</f>
        <v>(/|</v>
      </c>
      <c r="R1703" s="23">
        <f>FLOOR(VLOOKUP($D1703,Sheet1!$M$5:$O$192,3,TRUE),1)</f>
        <v>112</v>
      </c>
      <c r="S1703" s="42" t="str">
        <f>VLOOKUP($D1703,Sheet1!$M$5:$O$192,2,TRUE)</f>
        <v>(/|</v>
      </c>
      <c r="T1703" s="117">
        <f>IF(ABS(D1703-VLOOKUP($D1703,Sheet1!$M$5:$T$192,8,TRUE))&lt;10^-10,"SoCA",D1703-VLOOKUP($D1703,Sheet1!$M$5:$T$192,8,TRUE))</f>
        <v>0.12919316958809901</v>
      </c>
      <c r="U1703" s="109" t="str">
        <f>IF(VLOOKUP($D1703,Sheet1!$M$5:$U$192,9,TRUE)=0,"",IF(ABS(D1703-VLOOKUP($D1703,Sheet1!$M$5:$U$192,9,TRUE))&lt;10^-10,"Alt.",D1703-VLOOKUP($D1703,Sheet1!$M$5:$U$192,9,TRUE)))</f>
        <v/>
      </c>
      <c r="V1703" s="132">
        <f>$D1703-Sheet1!$M$3*$R1703</f>
        <v>1.0506905137518174E-2</v>
      </c>
    </row>
    <row r="1704" spans="1:22" ht="13.5">
      <c r="A1704" t="s">
        <v>857</v>
      </c>
      <c r="B1704">
        <v>3200</v>
      </c>
      <c r="C1704">
        <v>3303</v>
      </c>
      <c r="D1704" s="13">
        <f t="shared" si="35"/>
        <v>54.846077412960589</v>
      </c>
      <c r="E1704" s="61" t="s">
        <v>1931</v>
      </c>
      <c r="F1704" s="65">
        <v>452.50819935413836</v>
      </c>
      <c r="G1704" s="6">
        <v>771</v>
      </c>
      <c r="H1704" s="6">
        <v>704</v>
      </c>
      <c r="I1704" s="65">
        <v>-1.3770728014548088</v>
      </c>
      <c r="J1704" s="6">
        <f>VLOOKUP($D1704,Sheet1!$A$5:$C$192,3,TRUE)</f>
        <v>10</v>
      </c>
      <c r="K1704" s="42" t="str">
        <f>VLOOKUP($D1704,Sheet1!$A$5:$C$192,2,TRUE)</f>
        <v>/|\</v>
      </c>
      <c r="L1704" s="6">
        <f>FLOOR(VLOOKUP($D1704,Sheet1!$D$5:$F$192,3,TRUE),1)</f>
        <v>23</v>
      </c>
      <c r="M1704" s="42" t="str">
        <f>VLOOKUP($D1704,Sheet1!$D$5:$F$192,2,TRUE)</f>
        <v>(/|</v>
      </c>
      <c r="N1704" s="23">
        <f>FLOOR(VLOOKUP($D1704,Sheet1!$G$5:$I$192,3,TRUE),1)</f>
        <v>28</v>
      </c>
      <c r="O1704" s="42" t="str">
        <f>VLOOKUP($D1704,Sheet1!$G$5:$I$192,2,TRUE)</f>
        <v>(/|</v>
      </c>
      <c r="P1704" s="23">
        <v>1</v>
      </c>
      <c r="Q1704" s="43" t="str">
        <f>VLOOKUP($D1704,Sheet1!$J$5:$L$192,2,TRUE)</f>
        <v>(/|</v>
      </c>
      <c r="R1704" s="23">
        <f>FLOOR(VLOOKUP($D1704,Sheet1!$M$5:$O$192,3,TRUE),1)</f>
        <v>112</v>
      </c>
      <c r="S1704" s="42" t="str">
        <f>VLOOKUP($D1704,Sheet1!$M$5:$O$192,2,TRUE)</f>
        <v>(/|</v>
      </c>
      <c r="T1704" s="117">
        <f>IF(ABS(D1704-VLOOKUP($D1704,Sheet1!$M$5:$T$192,8,TRUE))&lt;10^-10,"SoCA",D1704-VLOOKUP($D1704,Sheet1!$M$5:$T$192,8,TRUE))</f>
        <v>0.31789381275994799</v>
      </c>
      <c r="U1704" s="109" t="str">
        <f>IF(VLOOKUP($D1704,Sheet1!$M$5:$U$192,9,TRUE)=0,"",IF(ABS(D1704-VLOOKUP($D1704,Sheet1!$M$5:$U$192,9,TRUE))&lt;10^-10,"Alt.",D1704-VLOOKUP($D1704,Sheet1!$M$5:$U$192,9,TRUE)))</f>
        <v/>
      </c>
      <c r="V1704" s="132">
        <f>$D1704-Sheet1!$M$3*$R1704</f>
        <v>0.19920754830936716</v>
      </c>
    </row>
    <row r="1705" spans="1:22" ht="13.5">
      <c r="A1705" t="s">
        <v>1384</v>
      </c>
      <c r="B1705">
        <v>18251776</v>
      </c>
      <c r="C1705">
        <v>18836631</v>
      </c>
      <c r="D1705" s="13">
        <f t="shared" si="35"/>
        <v>54.604924363679388</v>
      </c>
      <c r="E1705" s="61" t="s">
        <v>1931</v>
      </c>
      <c r="F1705" s="65">
        <v>736.24756034504981</v>
      </c>
      <c r="G1705" s="6">
        <v>1297</v>
      </c>
      <c r="H1705" s="6">
        <v>1233</v>
      </c>
      <c r="I1705" s="65">
        <v>6.6377758703578262</v>
      </c>
      <c r="J1705" s="6">
        <f>VLOOKUP($D1705,Sheet1!$A$5:$C$192,3,TRUE)</f>
        <v>10</v>
      </c>
      <c r="K1705" s="42" t="str">
        <f>VLOOKUP($D1705,Sheet1!$A$5:$C$192,2,TRUE)</f>
        <v>/|\</v>
      </c>
      <c r="L1705" s="6">
        <f>FLOOR(VLOOKUP($D1705,Sheet1!$D$5:$F$192,3,TRUE),1)</f>
        <v>23</v>
      </c>
      <c r="M1705" s="42" t="str">
        <f>VLOOKUP($D1705,Sheet1!$D$5:$F$192,2,TRUE)</f>
        <v>(/|</v>
      </c>
      <c r="N1705" s="23">
        <f>FLOOR(VLOOKUP($D1705,Sheet1!$G$5:$I$192,3,TRUE),1)</f>
        <v>28</v>
      </c>
      <c r="O1705" s="42" t="str">
        <f>VLOOKUP($D1705,Sheet1!$G$5:$I$192,2,TRUE)</f>
        <v>(/|</v>
      </c>
      <c r="P1705" s="23">
        <v>1</v>
      </c>
      <c r="Q1705" s="43" t="str">
        <f>VLOOKUP($D1705,Sheet1!$J$5:$L$192,2,TRUE)</f>
        <v>(/|</v>
      </c>
      <c r="R1705" s="23">
        <f>FLOOR(VLOOKUP($D1705,Sheet1!$M$5:$O$192,3,TRUE),1)</f>
        <v>112</v>
      </c>
      <c r="S1705" s="42" t="str">
        <f>VLOOKUP($D1705,Sheet1!$M$5:$O$192,2,TRUE)</f>
        <v>(/|</v>
      </c>
      <c r="T1705" s="117">
        <f>IF(ABS(D1705-VLOOKUP($D1705,Sheet1!$M$5:$T$192,8,TRUE))&lt;10^-10,"SoCA",D1705-VLOOKUP($D1705,Sheet1!$M$5:$T$192,8,TRUE))</f>
        <v>7.6740763478746032E-2</v>
      </c>
      <c r="U1705" s="109" t="str">
        <f>IF(VLOOKUP($D1705,Sheet1!$M$5:$U$192,9,TRUE)=0,"",IF(ABS(D1705-VLOOKUP($D1705,Sheet1!$M$5:$U$192,9,TRUE))&lt;10^-10,"Alt.",D1705-VLOOKUP($D1705,Sheet1!$M$5:$U$192,9,TRUE)))</f>
        <v/>
      </c>
      <c r="V1705" s="132">
        <f>$D1705-Sheet1!$M$3*$R1705</f>
        <v>-4.1945500971834804E-2</v>
      </c>
    </row>
    <row r="1706" spans="1:22" ht="13.5">
      <c r="A1706" t="s">
        <v>969</v>
      </c>
      <c r="B1706">
        <v>20000</v>
      </c>
      <c r="C1706">
        <v>20643</v>
      </c>
      <c r="D1706" s="13">
        <f t="shared" si="35"/>
        <v>54.783179483869652</v>
      </c>
      <c r="E1706" s="61" t="s">
        <v>1931</v>
      </c>
      <c r="F1706" s="65">
        <v>1414.1372491180066</v>
      </c>
      <c r="G1706" s="6">
        <v>878</v>
      </c>
      <c r="H1706" s="6">
        <v>817</v>
      </c>
      <c r="I1706" s="65">
        <v>-2.3731999468110478</v>
      </c>
      <c r="J1706" s="6">
        <f>VLOOKUP($D1706,Sheet1!$A$5:$C$192,3,TRUE)</f>
        <v>10</v>
      </c>
      <c r="K1706" s="42" t="str">
        <f>VLOOKUP($D1706,Sheet1!$A$5:$C$192,2,TRUE)</f>
        <v>/|\</v>
      </c>
      <c r="L1706" s="6">
        <f>FLOOR(VLOOKUP($D1706,Sheet1!$D$5:$F$192,3,TRUE),1)</f>
        <v>23</v>
      </c>
      <c r="M1706" s="42" t="str">
        <f>VLOOKUP($D1706,Sheet1!$D$5:$F$192,2,TRUE)</f>
        <v>(/|</v>
      </c>
      <c r="N1706" s="23">
        <f>FLOOR(VLOOKUP($D1706,Sheet1!$G$5:$I$192,3,TRUE),1)</f>
        <v>28</v>
      </c>
      <c r="O1706" s="42" t="str">
        <f>VLOOKUP($D1706,Sheet1!$G$5:$I$192,2,TRUE)</f>
        <v>(/|</v>
      </c>
      <c r="P1706" s="23">
        <v>1</v>
      </c>
      <c r="Q1706" s="43" t="str">
        <f>VLOOKUP($D1706,Sheet1!$J$5:$L$192,2,TRUE)</f>
        <v>(/|</v>
      </c>
      <c r="R1706" s="23">
        <f>FLOOR(VLOOKUP($D1706,Sheet1!$M$5:$O$192,3,TRUE),1)</f>
        <v>112</v>
      </c>
      <c r="S1706" s="42" t="str">
        <f>VLOOKUP($D1706,Sheet1!$M$5:$O$192,2,TRUE)</f>
        <v>(/|</v>
      </c>
      <c r="T1706" s="117">
        <f>IF(ABS(D1706-VLOOKUP($D1706,Sheet1!$M$5:$T$192,8,TRUE))&lt;10^-10,"SoCA",D1706-VLOOKUP($D1706,Sheet1!$M$5:$T$192,8,TRUE))</f>
        <v>0.25499588366901094</v>
      </c>
      <c r="U1706" s="109" t="str">
        <f>IF(VLOOKUP($D1706,Sheet1!$M$5:$U$192,9,TRUE)=0,"",IF(ABS(D1706-VLOOKUP($D1706,Sheet1!$M$5:$U$192,9,TRUE))&lt;10^-10,"Alt.",D1706-VLOOKUP($D1706,Sheet1!$M$5:$U$192,9,TRUE)))</f>
        <v/>
      </c>
      <c r="V1706" s="132">
        <f>$D1706-Sheet1!$M$3*$R1706</f>
        <v>0.1363096192184301</v>
      </c>
    </row>
    <row r="1707" spans="1:22" ht="13.5">
      <c r="A1707" t="s">
        <v>881</v>
      </c>
      <c r="B1707">
        <v>1280000</v>
      </c>
      <c r="C1707">
        <v>1321191</v>
      </c>
      <c r="D1707" s="13">
        <f t="shared" si="35"/>
        <v>54.834284225319784</v>
      </c>
      <c r="E1707" s="61" t="s">
        <v>1931</v>
      </c>
      <c r="F1707" s="65">
        <v>8732.0338264444508</v>
      </c>
      <c r="G1707" s="6">
        <v>791</v>
      </c>
      <c r="H1707" s="6">
        <v>728</v>
      </c>
      <c r="I1707" s="65">
        <v>1.6236533480731574</v>
      </c>
      <c r="J1707" s="6">
        <f>VLOOKUP($D1707,Sheet1!$A$5:$C$192,3,TRUE)</f>
        <v>10</v>
      </c>
      <c r="K1707" s="42" t="str">
        <f>VLOOKUP($D1707,Sheet1!$A$5:$C$192,2,TRUE)</f>
        <v>/|\</v>
      </c>
      <c r="L1707" s="6">
        <f>FLOOR(VLOOKUP($D1707,Sheet1!$D$5:$F$192,3,TRUE),1)</f>
        <v>23</v>
      </c>
      <c r="M1707" s="42" t="str">
        <f>VLOOKUP($D1707,Sheet1!$D$5:$F$192,2,TRUE)</f>
        <v>(/|</v>
      </c>
      <c r="N1707" s="23">
        <f>FLOOR(VLOOKUP($D1707,Sheet1!$G$5:$I$192,3,TRUE),1)</f>
        <v>28</v>
      </c>
      <c r="O1707" s="42" t="str">
        <f>VLOOKUP($D1707,Sheet1!$G$5:$I$192,2,TRUE)</f>
        <v>(/|</v>
      </c>
      <c r="P1707" s="23">
        <v>1</v>
      </c>
      <c r="Q1707" s="43" t="str">
        <f>VLOOKUP($D1707,Sheet1!$J$5:$L$192,2,TRUE)</f>
        <v>(/|</v>
      </c>
      <c r="R1707" s="23">
        <f>FLOOR(VLOOKUP($D1707,Sheet1!$M$5:$O$192,3,TRUE),1)</f>
        <v>112</v>
      </c>
      <c r="S1707" s="42" t="str">
        <f>VLOOKUP($D1707,Sheet1!$M$5:$O$192,2,TRUE)</f>
        <v>(/|</v>
      </c>
      <c r="T1707" s="117">
        <f>IF(ABS(D1707-VLOOKUP($D1707,Sheet1!$M$5:$T$192,8,TRUE))&lt;10^-10,"SoCA",D1707-VLOOKUP($D1707,Sheet1!$M$5:$T$192,8,TRUE))</f>
        <v>0.30610062511914293</v>
      </c>
      <c r="U1707" s="109" t="str">
        <f>IF(VLOOKUP($D1707,Sheet1!$M$5:$U$192,9,TRUE)=0,"",IF(ABS(D1707-VLOOKUP($D1707,Sheet1!$M$5:$U$192,9,TRUE))&lt;10^-10,"Alt.",D1707-VLOOKUP($D1707,Sheet1!$M$5:$U$192,9,TRUE)))</f>
        <v/>
      </c>
      <c r="V1707" s="132">
        <f>$D1707-Sheet1!$M$3*$R1707</f>
        <v>0.1874143606685621</v>
      </c>
    </row>
    <row r="1708" spans="1:22" ht="13.5">
      <c r="A1708" s="48" t="s">
        <v>218</v>
      </c>
      <c r="B1708" s="151">
        <f>2^20</f>
        <v>1048576</v>
      </c>
      <c r="C1708" s="151">
        <f>3^9*5*11</f>
        <v>1082565</v>
      </c>
      <c r="D1708" s="13">
        <f t="shared" si="35"/>
        <v>55.226664018078296</v>
      </c>
      <c r="E1708" s="61">
        <v>11</v>
      </c>
      <c r="F1708" s="65">
        <v>26.874694876181849</v>
      </c>
      <c r="G1708" s="6">
        <v>45.1</v>
      </c>
      <c r="H1708" s="6">
        <v>44.1</v>
      </c>
      <c r="I1708" s="65">
        <v>5.5994930947156014</v>
      </c>
      <c r="J1708" s="6">
        <f>VLOOKUP($D1708,Sheet1!$A$5:$C$192,3,TRUE)</f>
        <v>10</v>
      </c>
      <c r="K1708" s="42" t="str">
        <f>VLOOKUP($D1708,Sheet1!$A$5:$C$192,2,TRUE)</f>
        <v>/|\</v>
      </c>
      <c r="L1708" s="6">
        <f>FLOOR(VLOOKUP($D1708,Sheet1!$D$5:$F$192,3,TRUE),1)</f>
        <v>23</v>
      </c>
      <c r="M1708" s="42" t="str">
        <f>VLOOKUP($D1708,Sheet1!$D$5:$F$192,2,TRUE)</f>
        <v>(/|</v>
      </c>
      <c r="N1708" s="39">
        <f>FLOOR(VLOOKUP($D1708,Sheet1!$G$5:$I$192,3,TRUE),1)</f>
        <v>28</v>
      </c>
      <c r="O1708" s="44" t="str">
        <f>VLOOKUP($D1708,Sheet1!$G$5:$I$192,2,TRUE)</f>
        <v>'/|\</v>
      </c>
      <c r="P1708" s="39">
        <v>1</v>
      </c>
      <c r="Q1708" s="44" t="str">
        <f>VLOOKUP($D1708,Sheet1!$J$5:$L$192,2,TRUE)</f>
        <v>'/|\</v>
      </c>
      <c r="R1708" s="39">
        <f>FLOOR(VLOOKUP($D1708,Sheet1!$M$5:$O$192,3,TRUE),1)</f>
        <v>113</v>
      </c>
      <c r="S1708" s="44" t="str">
        <f>VLOOKUP($D1708,Sheet1!$M$5:$O$192,2,TRUE)</f>
        <v>'/|\</v>
      </c>
      <c r="T1708" s="113" t="str">
        <f>IF(ABS(D1708-VLOOKUP($D1708,Sheet1!$M$5:$T$192,8,TRUE))&lt;10^-10,"SoCA",D1708-VLOOKUP($D1708,Sheet1!$M$5:$T$192,8,TRUE))</f>
        <v>SoCA</v>
      </c>
      <c r="U1708" s="118" t="str">
        <f>IF(VLOOKUP($D1708,Sheet1!$M$5:$U$192,9,TRUE)=0,"",IF(ABS(D1708-VLOOKUP($D1708,Sheet1!$M$5:$U$192,9,TRUE))&lt;10^-10,"Alt.",D1708-VLOOKUP($D1708,Sheet1!$M$5:$U$192,9,TRUE)))</f>
        <v/>
      </c>
      <c r="V1708" s="136">
        <f>$D1708-Sheet1!$M$3*$R1708</f>
        <v>9.1875672492683691E-2</v>
      </c>
    </row>
    <row r="1709" spans="1:22" ht="13.5">
      <c r="A1709" s="21" t="s">
        <v>270</v>
      </c>
      <c r="B1709" s="21">
        <f>3^5*5^2</f>
        <v>6075</v>
      </c>
      <c r="C1709" s="21">
        <f>2^7*7^2</f>
        <v>6272</v>
      </c>
      <c r="D1709" s="13">
        <f t="shared" si="35"/>
        <v>55.249380881643049</v>
      </c>
      <c r="E1709" s="61">
        <v>7</v>
      </c>
      <c r="F1709" s="65">
        <v>27.331907421343452</v>
      </c>
      <c r="G1709" s="60">
        <v>62</v>
      </c>
      <c r="H1709" s="60">
        <v>73</v>
      </c>
      <c r="I1709" s="65">
        <v>-8.4019056653361197</v>
      </c>
      <c r="J1709" s="6">
        <f>VLOOKUP($D1709,Sheet1!$A$5:$C$192,3,TRUE)</f>
        <v>10</v>
      </c>
      <c r="K1709" s="42" t="str">
        <f>VLOOKUP($D1709,Sheet1!$A$5:$C$192,2,TRUE)</f>
        <v>/|\</v>
      </c>
      <c r="L1709" s="6">
        <f>FLOOR(VLOOKUP($D1709,Sheet1!$D$5:$F$192,3,TRUE),1)</f>
        <v>23</v>
      </c>
      <c r="M1709" s="42" t="str">
        <f>VLOOKUP($D1709,Sheet1!$D$5:$F$192,2,TRUE)</f>
        <v>(/|</v>
      </c>
      <c r="N1709" s="23">
        <f>FLOOR(VLOOKUP($D1709,Sheet1!$G$5:$I$192,3,TRUE),1)</f>
        <v>28</v>
      </c>
      <c r="O1709" s="42" t="str">
        <f>VLOOKUP($D1709,Sheet1!$G$5:$I$192,2,TRUE)</f>
        <v>'/|\</v>
      </c>
      <c r="P1709" s="23">
        <v>1</v>
      </c>
      <c r="Q1709" s="43" t="str">
        <f>VLOOKUP($D1709,Sheet1!$J$5:$L$192,2,TRUE)</f>
        <v>'/|\</v>
      </c>
      <c r="R1709" s="23">
        <f>FLOOR(VLOOKUP($D1709,Sheet1!$M$5:$O$192,3,TRUE),1)</f>
        <v>113</v>
      </c>
      <c r="S1709" s="43" t="str">
        <f>VLOOKUP($D1709,Sheet1!$M$5:$O$192,2,TRUE)</f>
        <v>'/|\</v>
      </c>
      <c r="T1709" s="117">
        <f>IF(ABS(D1709-VLOOKUP($D1709,Sheet1!$M$5:$T$192,8,TRUE))&lt;10^-10,"SoCA",D1709-VLOOKUP($D1709,Sheet1!$M$5:$T$192,8,TRUE))</f>
        <v>2.2716863564767209E-2</v>
      </c>
      <c r="U1709" s="109" t="str">
        <f>IF(VLOOKUP($D1709,Sheet1!$M$5:$U$192,9,TRUE)=0,"",IF(ABS(D1709-VLOOKUP($D1709,Sheet1!$M$5:$U$192,9,TRUE))&lt;10^-10,"Alt.",D1709-VLOOKUP($D1709,Sheet1!$M$5:$U$192,9,TRUE)))</f>
        <v/>
      </c>
      <c r="V1709" s="132">
        <f>$D1709-Sheet1!$M$3*$R1709</f>
        <v>0.11459253605743669</v>
      </c>
    </row>
    <row r="1710" spans="1:22" ht="13.5">
      <c r="A1710" s="21" t="s">
        <v>276</v>
      </c>
      <c r="B1710" s="21">
        <f>2^12*5</f>
        <v>20480</v>
      </c>
      <c r="C1710" s="21">
        <f>3^6*29</f>
        <v>21141</v>
      </c>
      <c r="D1710" s="13">
        <f t="shared" si="35"/>
        <v>54.993485480576162</v>
      </c>
      <c r="E1710" s="61">
        <v>29</v>
      </c>
      <c r="F1710" s="65">
        <v>34.69407281228397</v>
      </c>
      <c r="G1710" s="6">
        <v>95.1</v>
      </c>
      <c r="H1710" s="6">
        <v>88.1</v>
      </c>
      <c r="I1710" s="65">
        <v>2.6138507467852716</v>
      </c>
      <c r="J1710" s="6">
        <f>VLOOKUP($D1710,Sheet1!$A$5:$C$192,3,TRUE)</f>
        <v>10</v>
      </c>
      <c r="K1710" s="42" t="str">
        <f>VLOOKUP($D1710,Sheet1!$A$5:$C$192,2,TRUE)</f>
        <v>/|\</v>
      </c>
      <c r="L1710" s="6">
        <f>FLOOR(VLOOKUP($D1710,Sheet1!$D$5:$F$192,3,TRUE),1)</f>
        <v>23</v>
      </c>
      <c r="M1710" s="42" t="str">
        <f>VLOOKUP($D1710,Sheet1!$D$5:$F$192,2,TRUE)</f>
        <v>(/|</v>
      </c>
      <c r="N1710" s="23">
        <f>FLOOR(VLOOKUP($D1710,Sheet1!$G$5:$I$192,3,TRUE),1)</f>
        <v>28</v>
      </c>
      <c r="O1710" s="42" t="str">
        <f>VLOOKUP($D1710,Sheet1!$G$5:$I$192,2,TRUE)</f>
        <v>(/|</v>
      </c>
      <c r="P1710" s="23">
        <v>1</v>
      </c>
      <c r="Q1710" s="43" t="str">
        <f>VLOOKUP($D1710,Sheet1!$J$5:$L$192,2,TRUE)</f>
        <v>(/|'</v>
      </c>
      <c r="R1710" s="23">
        <f>FLOOR(VLOOKUP($D1710,Sheet1!$M$5:$O$192,3,TRUE),1)</f>
        <v>113</v>
      </c>
      <c r="S1710" s="43" t="str">
        <f>VLOOKUP($D1710,Sheet1!$M$5:$O$192,2,TRUE)</f>
        <v>(/|'</v>
      </c>
      <c r="T1710" s="117">
        <f>IF(ABS(D1710-VLOOKUP($D1710,Sheet1!$M$5:$T$192,8,TRUE))&lt;10^-10,"SoCA",D1710-VLOOKUP($D1710,Sheet1!$M$5:$T$192,8,TRUE))</f>
        <v>4.2585714420695808E-2</v>
      </c>
      <c r="U1710" s="117">
        <f>IF(VLOOKUP($D1710,Sheet1!$M$5:$U$192,9,TRUE)=0,"",IF(ABS(D1710-VLOOKUP($D1710,Sheet1!$M$5:$U$192,9,TRUE))&lt;10^-10,"Alt.",D1710-VLOOKUP($D1710,Sheet1!$M$5:$U$192,9,TRUE)))</f>
        <v>6.9546009623131511E-2</v>
      </c>
      <c r="V1710" s="132">
        <f>$D1710-Sheet1!$M$3*$R1710</f>
        <v>-0.14130286500945033</v>
      </c>
    </row>
    <row r="1711" spans="1:22" ht="13.5">
      <c r="A1711" s="87" t="s">
        <v>215</v>
      </c>
      <c r="B1711" s="87">
        <v>31</v>
      </c>
      <c r="C1711" s="87">
        <f>2^5</f>
        <v>32</v>
      </c>
      <c r="D1711" s="13">
        <f t="shared" si="35"/>
        <v>54.964427535749699</v>
      </c>
      <c r="E1711" s="61">
        <v>31</v>
      </c>
      <c r="F1711" s="65">
        <v>37.310507247737867</v>
      </c>
      <c r="G1711" s="6">
        <v>48</v>
      </c>
      <c r="H1711" s="6">
        <v>46</v>
      </c>
      <c r="I1711" s="65">
        <v>-3.3843600496879067</v>
      </c>
      <c r="J1711" s="6">
        <f>VLOOKUP($D1711,Sheet1!$A$5:$C$192,3,TRUE)</f>
        <v>10</v>
      </c>
      <c r="K1711" s="42" t="str">
        <f>VLOOKUP($D1711,Sheet1!$A$5:$C$192,2,TRUE)</f>
        <v>/|\</v>
      </c>
      <c r="L1711" s="6">
        <f>FLOOR(VLOOKUP($D1711,Sheet1!$D$5:$F$192,3,TRUE),1)</f>
        <v>23</v>
      </c>
      <c r="M1711" s="42" t="str">
        <f>VLOOKUP($D1711,Sheet1!$D$5:$F$192,2,TRUE)</f>
        <v>(/|</v>
      </c>
      <c r="N1711" s="23">
        <f>FLOOR(VLOOKUP($D1711,Sheet1!$G$5:$I$192,3,TRUE),1)</f>
        <v>28</v>
      </c>
      <c r="O1711" s="42" t="str">
        <f>VLOOKUP($D1711,Sheet1!$G$5:$I$192,2,TRUE)</f>
        <v>(/|</v>
      </c>
      <c r="P1711" s="23">
        <v>1</v>
      </c>
      <c r="Q1711" s="45" t="str">
        <f>VLOOKUP($D1711,Sheet1!$J$5:$L$192,2,TRUE)</f>
        <v>(/|'</v>
      </c>
      <c r="R1711" s="38">
        <f>FLOOR(VLOOKUP($D1711,Sheet1!$M$5:$O$192,3,TRUE),1)</f>
        <v>113</v>
      </c>
      <c r="S1711" s="45" t="str">
        <f>VLOOKUP($D1711,Sheet1!$M$5:$O$192,2,TRUE)</f>
        <v>(/|'</v>
      </c>
      <c r="T1711" s="108">
        <f>IF(ABS(D1711-VLOOKUP($D1711,Sheet1!$M$5:$T$192,8,TRUE))&lt;10^-10,"SoCA",D1711-VLOOKUP($D1711,Sheet1!$M$5:$T$192,8,TRUE))</f>
        <v>1.3527769594233519E-2</v>
      </c>
      <c r="U1711" s="108">
        <f>IF(VLOOKUP($D1711,Sheet1!$M$5:$U$192,9,TRUE)=0,"",IF(ABS(D1711-VLOOKUP($D1711,Sheet1!$M$5:$U$192,9,TRUE))&lt;10^-10,"Alt.",D1711-VLOOKUP($D1711,Sheet1!$M$5:$U$192,9,TRUE)))</f>
        <v>4.0488064796669221E-2</v>
      </c>
      <c r="V1711" s="132">
        <f>$D1711-Sheet1!$M$3*$R1711</f>
        <v>-0.17036080983591262</v>
      </c>
    </row>
    <row r="1712" spans="1:22" ht="13.5">
      <c r="A1712" s="23" t="s">
        <v>555</v>
      </c>
      <c r="B1712" s="23">
        <f>2^2*5*17</f>
        <v>340</v>
      </c>
      <c r="C1712" s="23">
        <f>3^3*13</f>
        <v>351</v>
      </c>
      <c r="D1712" s="13">
        <f t="shared" si="35"/>
        <v>55.123541000230922</v>
      </c>
      <c r="E1712" s="61">
        <v>17</v>
      </c>
      <c r="F1712" s="65">
        <v>42.092898144413766</v>
      </c>
      <c r="G1712" s="6">
        <v>467</v>
      </c>
      <c r="H1712" s="6">
        <v>399</v>
      </c>
      <c r="I1712" s="65">
        <v>-0.39415724537792673</v>
      </c>
      <c r="J1712" s="6">
        <f>VLOOKUP($D1712,Sheet1!$A$5:$C$192,3,TRUE)</f>
        <v>10</v>
      </c>
      <c r="K1712" s="42" t="str">
        <f>VLOOKUP($D1712,Sheet1!$A$5:$C$192,2,TRUE)</f>
        <v>/|\</v>
      </c>
      <c r="L1712" s="6">
        <f>FLOOR(VLOOKUP($D1712,Sheet1!$D$5:$F$192,3,TRUE),1)</f>
        <v>23</v>
      </c>
      <c r="M1712" s="42" t="str">
        <f>VLOOKUP($D1712,Sheet1!$D$5:$F$192,2,TRUE)</f>
        <v>(/|</v>
      </c>
      <c r="N1712" s="23">
        <f>FLOOR(VLOOKUP($D1712,Sheet1!$G$5:$I$192,3,TRUE),1)</f>
        <v>28</v>
      </c>
      <c r="O1712" s="42" t="str">
        <f>VLOOKUP($D1712,Sheet1!$G$5:$I$192,2,TRUE)</f>
        <v>'/|\</v>
      </c>
      <c r="P1712" s="23">
        <v>1</v>
      </c>
      <c r="Q1712" s="43" t="str">
        <f>VLOOKUP($D1712,Sheet1!$J$5:$L$192,2,TRUE)</f>
        <v>'/|\</v>
      </c>
      <c r="R1712" s="23">
        <f>FLOOR(VLOOKUP($D1712,Sheet1!$M$5:$O$192,3,TRUE),1)</f>
        <v>113</v>
      </c>
      <c r="S1712" s="43" t="str">
        <f>VLOOKUP($D1712,Sheet1!$M$5:$O$192,2,TRUE)</f>
        <v>'/|\</v>
      </c>
      <c r="T1712" s="117">
        <f>IF(ABS(D1712-VLOOKUP($D1712,Sheet1!$M$5:$T$192,8,TRUE))&lt;10^-10,"SoCA",D1712-VLOOKUP($D1712,Sheet1!$M$5:$T$192,8,TRUE))</f>
        <v>-0.10312301784735922</v>
      </c>
      <c r="U1712" s="109" t="str">
        <f>IF(VLOOKUP($D1712,Sheet1!$M$5:$U$192,9,TRUE)=0,"",IF(ABS(D1712-VLOOKUP($D1712,Sheet1!$M$5:$U$192,9,TRUE))&lt;10^-10,"Alt.",D1712-VLOOKUP($D1712,Sheet1!$M$5:$U$192,9,TRUE)))</f>
        <v/>
      </c>
      <c r="V1712" s="132">
        <f>$D1712-Sheet1!$M$3*$R1712</f>
        <v>-1.1247345354689742E-2</v>
      </c>
    </row>
    <row r="1713" spans="1:22" ht="13.5">
      <c r="A1713" s="6" t="s">
        <v>345</v>
      </c>
      <c r="B1713" s="6">
        <f>2^7*19</f>
        <v>2432</v>
      </c>
      <c r="C1713" s="6">
        <f>3^4*31</f>
        <v>2511</v>
      </c>
      <c r="D1713" s="13">
        <f t="shared" si="35"/>
        <v>55.342559793497394</v>
      </c>
      <c r="E1713" s="61">
        <v>31</v>
      </c>
      <c r="F1713" s="65">
        <v>50.191076882938873</v>
      </c>
      <c r="G1713" s="6">
        <v>208.1</v>
      </c>
      <c r="H1713" s="6">
        <v>179.1</v>
      </c>
      <c r="I1713" s="65">
        <v>0.5923569695917501</v>
      </c>
      <c r="J1713" s="6">
        <f>VLOOKUP($D1713,Sheet1!$A$5:$C$192,3,TRUE)</f>
        <v>10</v>
      </c>
      <c r="K1713" s="42" t="str">
        <f>VLOOKUP($D1713,Sheet1!$A$5:$C$192,2,TRUE)</f>
        <v>/|\</v>
      </c>
      <c r="L1713" s="6">
        <f>FLOOR(VLOOKUP($D1713,Sheet1!$D$5:$F$192,3,TRUE),1)</f>
        <v>23</v>
      </c>
      <c r="M1713" s="42" t="str">
        <f>VLOOKUP($D1713,Sheet1!$D$5:$F$192,2,TRUE)</f>
        <v>(/|</v>
      </c>
      <c r="N1713" s="23">
        <f>FLOOR(VLOOKUP($D1713,Sheet1!$G$5:$I$192,3,TRUE),1)</f>
        <v>28</v>
      </c>
      <c r="O1713" s="42" t="str">
        <f>VLOOKUP($D1713,Sheet1!$G$5:$I$192,2,TRUE)</f>
        <v>'/|\</v>
      </c>
      <c r="P1713" s="23">
        <v>1</v>
      </c>
      <c r="Q1713" s="43" t="str">
        <f>VLOOKUP($D1713,Sheet1!$J$5:$L$192,2,TRUE)</f>
        <v>'/|\</v>
      </c>
      <c r="R1713" s="23">
        <f>FLOOR(VLOOKUP($D1713,Sheet1!$M$5:$O$192,3,TRUE),1)</f>
        <v>113</v>
      </c>
      <c r="S1713" s="42" t="str">
        <f>VLOOKUP($D1713,Sheet1!$M$5:$O$192,2,TRUE)</f>
        <v>'/|\</v>
      </c>
      <c r="T1713" s="117">
        <f>IF(ABS(D1713-VLOOKUP($D1713,Sheet1!$M$5:$T$192,8,TRUE))&lt;10^-10,"SoCA",D1713-VLOOKUP($D1713,Sheet1!$M$5:$T$192,8,TRUE))</f>
        <v>0.11589577541911211</v>
      </c>
      <c r="U1713" s="109" t="str">
        <f>IF(VLOOKUP($D1713,Sheet1!$M$5:$U$192,9,TRUE)=0,"",IF(ABS(D1713-VLOOKUP($D1713,Sheet1!$M$5:$U$192,9,TRUE))&lt;10^-10,"Alt.",D1713-VLOOKUP($D1713,Sheet1!$M$5:$U$192,9,TRUE)))</f>
        <v/>
      </c>
      <c r="V1713" s="132">
        <f>$D1713-Sheet1!$M$3*$R1713</f>
        <v>0.20777144791178159</v>
      </c>
    </row>
    <row r="1714" spans="1:22" ht="13.5">
      <c r="A1714" s="6" t="s">
        <v>1986</v>
      </c>
      <c r="B1714" s="6">
        <f>7^2*13^2</f>
        <v>8281</v>
      </c>
      <c r="C1714" s="6">
        <f>2*3^2*5^2*19</f>
        <v>8550</v>
      </c>
      <c r="D1714" s="13">
        <f t="shared" si="35"/>
        <v>55.343309115876046</v>
      </c>
      <c r="E1714" s="22">
        <v>19</v>
      </c>
      <c r="F1714" s="65">
        <v>82.878334490138229</v>
      </c>
      <c r="G1714" s="18">
        <v>2000000</v>
      </c>
      <c r="H1714" s="18">
        <v>2000000</v>
      </c>
      <c r="I1714" s="92">
        <v>3.1238086277548455E-2</v>
      </c>
      <c r="J1714" s="6">
        <f>VLOOKUP($D1714,Sheet1!$A$5:$C$192,3,TRUE)</f>
        <v>10</v>
      </c>
      <c r="K1714" s="42" t="str">
        <f>VLOOKUP($D1714,Sheet1!$A$5:$C$192,2,TRUE)</f>
        <v>/|\</v>
      </c>
      <c r="L1714" s="6">
        <f>FLOOR(VLOOKUP($D1714,Sheet1!$D$5:$F$192,3,TRUE),1)</f>
        <v>23</v>
      </c>
      <c r="M1714" s="42" t="str">
        <f>VLOOKUP($D1714,Sheet1!$D$5:$F$192,2,TRUE)</f>
        <v>(/|</v>
      </c>
      <c r="N1714" s="23">
        <f>FLOOR(VLOOKUP($D1714,Sheet1!$G$5:$I$192,3,TRUE),1)</f>
        <v>28</v>
      </c>
      <c r="O1714" s="42" t="str">
        <f>VLOOKUP($D1714,Sheet1!$G$5:$I$192,2,TRUE)</f>
        <v>'/|\</v>
      </c>
      <c r="P1714" s="23">
        <v>1</v>
      </c>
      <c r="Q1714" s="43" t="str">
        <f>VLOOKUP($D1714,Sheet1!$J$5:$L$192,2,TRUE)</f>
        <v>'/|\</v>
      </c>
      <c r="R1714" s="23">
        <f>FLOOR(VLOOKUP($D1714,Sheet1!$M$5:$O$192,3,TRUE),1)</f>
        <v>113</v>
      </c>
      <c r="S1714" s="42" t="str">
        <f>VLOOKUP($D1714,Sheet1!$M$5:$O$192,2,TRUE)</f>
        <v>'/|\</v>
      </c>
      <c r="T1714" s="117">
        <f>IF(ABS(D1714-VLOOKUP($D1714,Sheet1!$M$5:$T$192,8,TRUE))&lt;10^-10,"SoCA",D1714-VLOOKUP($D1714,Sheet1!$M$5:$T$192,8,TRUE))</f>
        <v>0.11664509779776466</v>
      </c>
      <c r="U1714" s="109" t="str">
        <f>IF(VLOOKUP($D1714,Sheet1!$M$5:$U$192,9,TRUE)=0,"",IF(ABS(D1714-VLOOKUP($D1714,Sheet1!$M$5:$U$192,9,TRUE))&lt;10^-10,"Alt.",D1714-VLOOKUP($D1714,Sheet1!$M$5:$U$192,9,TRUE)))</f>
        <v/>
      </c>
      <c r="V1714" s="132">
        <f>$D1714-Sheet1!$M$3*$R1714</f>
        <v>0.20852077029043414</v>
      </c>
    </row>
    <row r="1715" spans="1:22" ht="13.5">
      <c r="A1715" s="6" t="s">
        <v>1843</v>
      </c>
      <c r="B1715">
        <v>85293</v>
      </c>
      <c r="C1715">
        <v>88064</v>
      </c>
      <c r="D1715" s="13">
        <f t="shared" si="35"/>
        <v>55.350036950107594</v>
      </c>
      <c r="E1715" s="61">
        <v>43</v>
      </c>
      <c r="F1715" s="65">
        <v>89.350101328072924</v>
      </c>
      <c r="G1715" s="59">
        <v>1655</v>
      </c>
      <c r="H1715" s="63">
        <v>1000048</v>
      </c>
      <c r="I1715" s="65">
        <v>-11.408103426181505</v>
      </c>
      <c r="J1715" s="6">
        <f>VLOOKUP($D1715,Sheet1!$A$5:$C$192,3,TRUE)</f>
        <v>10</v>
      </c>
      <c r="K1715" s="42" t="str">
        <f>VLOOKUP($D1715,Sheet1!$A$5:$C$192,2,TRUE)</f>
        <v>/|\</v>
      </c>
      <c r="L1715" s="6">
        <f>FLOOR(VLOOKUP($D1715,Sheet1!$D$5:$F$192,3,TRUE),1)</f>
        <v>23</v>
      </c>
      <c r="M1715" s="42" t="str">
        <f>VLOOKUP($D1715,Sheet1!$D$5:$F$192,2,TRUE)</f>
        <v>(/|</v>
      </c>
      <c r="N1715" s="23">
        <f>FLOOR(VLOOKUP($D1715,Sheet1!$G$5:$I$192,3,TRUE),1)</f>
        <v>28</v>
      </c>
      <c r="O1715" s="42" t="str">
        <f>VLOOKUP($D1715,Sheet1!$G$5:$I$192,2,TRUE)</f>
        <v>'/|\</v>
      </c>
      <c r="P1715" s="23">
        <v>1</v>
      </c>
      <c r="Q1715" s="43" t="str">
        <f>VLOOKUP($D1715,Sheet1!$J$5:$L$192,2,TRUE)</f>
        <v>'/|\</v>
      </c>
      <c r="R1715" s="23">
        <f>FLOOR(VLOOKUP($D1715,Sheet1!$M$5:$O$192,3,TRUE),1)</f>
        <v>113</v>
      </c>
      <c r="S1715" s="42" t="str">
        <f>VLOOKUP($D1715,Sheet1!$M$5:$O$192,2,TRUE)</f>
        <v>'/|\</v>
      </c>
      <c r="T1715" s="117">
        <f>IF(ABS(D1715-VLOOKUP($D1715,Sheet1!$M$5:$T$192,8,TRUE))&lt;10^-10,"SoCA",D1715-VLOOKUP($D1715,Sheet1!$M$5:$T$192,8,TRUE))</f>
        <v>0.12337293202931221</v>
      </c>
      <c r="U1715" s="109" t="str">
        <f>IF(VLOOKUP($D1715,Sheet1!$M$5:$U$192,9,TRUE)=0,"",IF(ABS(D1715-VLOOKUP($D1715,Sheet1!$M$5:$U$192,9,TRUE))&lt;10^-10,"Alt.",D1715-VLOOKUP($D1715,Sheet1!$M$5:$U$192,9,TRUE)))</f>
        <v/>
      </c>
      <c r="V1715" s="132">
        <f>$D1715-Sheet1!$M$3*$R1715</f>
        <v>0.21524860452198169</v>
      </c>
    </row>
    <row r="1716" spans="1:22" ht="13.5">
      <c r="A1716" t="s">
        <v>1681</v>
      </c>
      <c r="B1716">
        <v>24057</v>
      </c>
      <c r="C1716">
        <v>24832</v>
      </c>
      <c r="D1716" s="13">
        <f t="shared" si="35"/>
        <v>54.892462202084729</v>
      </c>
      <c r="E1716" s="61" t="s">
        <v>1931</v>
      </c>
      <c r="F1716" s="65">
        <v>126.96231385755809</v>
      </c>
      <c r="G1716" s="6">
        <v>952</v>
      </c>
      <c r="H1716" s="6">
        <v>1530</v>
      </c>
      <c r="I1716" s="65">
        <v>-10.379928881910169</v>
      </c>
      <c r="J1716" s="6">
        <f>VLOOKUP($D1716,Sheet1!$A$5:$C$192,3,TRUE)</f>
        <v>10</v>
      </c>
      <c r="K1716" s="42" t="str">
        <f>VLOOKUP($D1716,Sheet1!$A$5:$C$192,2,TRUE)</f>
        <v>/|\</v>
      </c>
      <c r="L1716" s="6">
        <f>FLOOR(VLOOKUP($D1716,Sheet1!$D$5:$F$192,3,TRUE),1)</f>
        <v>23</v>
      </c>
      <c r="M1716" s="42" t="str">
        <f>VLOOKUP($D1716,Sheet1!$D$5:$F$192,2,TRUE)</f>
        <v>(/|</v>
      </c>
      <c r="N1716" s="23">
        <f>FLOOR(VLOOKUP($D1716,Sheet1!$G$5:$I$192,3,TRUE),1)</f>
        <v>28</v>
      </c>
      <c r="O1716" s="42" t="str">
        <f>VLOOKUP($D1716,Sheet1!$G$5:$I$192,2,TRUE)</f>
        <v>(/|</v>
      </c>
      <c r="P1716" s="23">
        <v>1</v>
      </c>
      <c r="Q1716" s="43" t="str">
        <f>VLOOKUP($D1716,Sheet1!$J$5:$L$192,2,TRUE)</f>
        <v>(/|'</v>
      </c>
      <c r="R1716" s="23">
        <f>FLOOR(VLOOKUP($D1716,Sheet1!$M$5:$O$192,3,TRUE),1)</f>
        <v>113</v>
      </c>
      <c r="S1716" s="42" t="str">
        <f>VLOOKUP($D1716,Sheet1!$M$5:$O$192,2,TRUE)</f>
        <v>(/|'</v>
      </c>
      <c r="T1716" s="117">
        <f>IF(ABS(D1716-VLOOKUP($D1716,Sheet1!$M$5:$T$192,8,TRUE))&lt;10^-10,"SoCA",D1716-VLOOKUP($D1716,Sheet1!$M$5:$T$192,8,TRUE))</f>
        <v>-5.8437564070736414E-2</v>
      </c>
      <c r="U1716" s="109">
        <f>IF(VLOOKUP($D1716,Sheet1!$M$5:$U$192,9,TRUE)=0,"",IF(ABS(D1716-VLOOKUP($D1716,Sheet1!$M$5:$U$192,9,TRUE))&lt;10^-10,"Alt.",D1716-VLOOKUP($D1716,Sheet1!$M$5:$U$192,9,TRUE)))</f>
        <v>-3.1477268868300712E-2</v>
      </c>
      <c r="V1716" s="132">
        <f>$D1716-Sheet1!$M$3*$R1716</f>
        <v>-0.24232614350088255</v>
      </c>
    </row>
    <row r="1717" spans="1:22" ht="13.5">
      <c r="A1717" t="s">
        <v>1093</v>
      </c>
      <c r="B1717">
        <v>60507</v>
      </c>
      <c r="C1717">
        <v>62464</v>
      </c>
      <c r="D1717" s="13">
        <f t="shared" si="35"/>
        <v>55.107482266829336</v>
      </c>
      <c r="E1717" s="61" t="s">
        <v>1931</v>
      </c>
      <c r="F1717" s="65">
        <v>154.13679163128765</v>
      </c>
      <c r="G1717" s="6">
        <v>593</v>
      </c>
      <c r="H1717" s="6">
        <v>942</v>
      </c>
      <c r="I1717" s="65">
        <v>-9.3931684506572406</v>
      </c>
      <c r="J1717" s="6">
        <f>VLOOKUP($D1717,Sheet1!$A$5:$C$192,3,TRUE)</f>
        <v>10</v>
      </c>
      <c r="K1717" s="42" t="str">
        <f>VLOOKUP($D1717,Sheet1!$A$5:$C$192,2,TRUE)</f>
        <v>/|\</v>
      </c>
      <c r="L1717" s="6">
        <f>FLOOR(VLOOKUP($D1717,Sheet1!$D$5:$F$192,3,TRUE),1)</f>
        <v>23</v>
      </c>
      <c r="M1717" s="42" t="str">
        <f>VLOOKUP($D1717,Sheet1!$D$5:$F$192,2,TRUE)</f>
        <v>(/|</v>
      </c>
      <c r="N1717" s="23">
        <f>FLOOR(VLOOKUP($D1717,Sheet1!$G$5:$I$192,3,TRUE),1)</f>
        <v>28</v>
      </c>
      <c r="O1717" s="42" t="str">
        <f>VLOOKUP($D1717,Sheet1!$G$5:$I$192,2,TRUE)</f>
        <v>'/|\</v>
      </c>
      <c r="P1717" s="23">
        <v>1</v>
      </c>
      <c r="Q1717" s="43" t="str">
        <f>VLOOKUP($D1717,Sheet1!$J$5:$L$192,2,TRUE)</f>
        <v>'/|\</v>
      </c>
      <c r="R1717" s="23">
        <f>FLOOR(VLOOKUP($D1717,Sheet1!$M$5:$O$192,3,TRUE),1)</f>
        <v>113</v>
      </c>
      <c r="S1717" s="42" t="str">
        <f>VLOOKUP($D1717,Sheet1!$M$5:$O$192,2,TRUE)</f>
        <v>'/|\</v>
      </c>
      <c r="T1717" s="117">
        <f>IF(ABS(D1717-VLOOKUP($D1717,Sheet1!$M$5:$T$192,8,TRUE))&lt;10^-10,"SoCA",D1717-VLOOKUP($D1717,Sheet1!$M$5:$T$192,8,TRUE))</f>
        <v>-0.11918175124894503</v>
      </c>
      <c r="U1717" s="109" t="str">
        <f>IF(VLOOKUP($D1717,Sheet1!$M$5:$U$192,9,TRUE)=0,"",IF(ABS(D1717-VLOOKUP($D1717,Sheet1!$M$5:$U$192,9,TRUE))&lt;10^-10,"Alt.",D1717-VLOOKUP($D1717,Sheet1!$M$5:$U$192,9,TRUE)))</f>
        <v/>
      </c>
      <c r="V1717" s="132">
        <f>$D1717-Sheet1!$M$3*$R1717</f>
        <v>-2.7306078756275554E-2</v>
      </c>
    </row>
    <row r="1718" spans="1:22" ht="13.5">
      <c r="A1718" t="s">
        <v>1267</v>
      </c>
      <c r="B1718">
        <v>18874368</v>
      </c>
      <c r="C1718">
        <v>19487171</v>
      </c>
      <c r="D1718" s="13">
        <f t="shared" si="35"/>
        <v>55.315594822521952</v>
      </c>
      <c r="E1718" s="61">
        <v>11</v>
      </c>
      <c r="F1718" s="65">
        <v>185.35999857325481</v>
      </c>
      <c r="G1718" s="6">
        <v>1173</v>
      </c>
      <c r="H1718" s="6">
        <v>1116</v>
      </c>
      <c r="I1718" s="65">
        <v>-5.4059826989065538</v>
      </c>
      <c r="J1718" s="6">
        <f>VLOOKUP($D1718,Sheet1!$A$5:$C$192,3,TRUE)</f>
        <v>10</v>
      </c>
      <c r="K1718" s="42" t="str">
        <f>VLOOKUP($D1718,Sheet1!$A$5:$C$192,2,TRUE)</f>
        <v>/|\</v>
      </c>
      <c r="L1718" s="6">
        <f>FLOOR(VLOOKUP($D1718,Sheet1!$D$5:$F$192,3,TRUE),1)</f>
        <v>23</v>
      </c>
      <c r="M1718" s="42" t="str">
        <f>VLOOKUP($D1718,Sheet1!$D$5:$F$192,2,TRUE)</f>
        <v>(/|</v>
      </c>
      <c r="N1718" s="23">
        <f>FLOOR(VLOOKUP($D1718,Sheet1!$G$5:$I$192,3,TRUE),1)</f>
        <v>28</v>
      </c>
      <c r="O1718" s="42" t="str">
        <f>VLOOKUP($D1718,Sheet1!$G$5:$I$192,2,TRUE)</f>
        <v>'/|\</v>
      </c>
      <c r="P1718" s="23">
        <v>1</v>
      </c>
      <c r="Q1718" s="43" t="str">
        <f>VLOOKUP($D1718,Sheet1!$J$5:$L$192,2,TRUE)</f>
        <v>'/|\</v>
      </c>
      <c r="R1718" s="23">
        <f>FLOOR(VLOOKUP($D1718,Sheet1!$M$5:$O$192,3,TRUE),1)</f>
        <v>113</v>
      </c>
      <c r="S1718" s="42" t="str">
        <f>VLOOKUP($D1718,Sheet1!$M$5:$O$192,2,TRUE)</f>
        <v>'/|\</v>
      </c>
      <c r="T1718" s="117">
        <f>IF(ABS(D1718-VLOOKUP($D1718,Sheet1!$M$5:$T$192,8,TRUE))&lt;10^-10,"SoCA",D1718-VLOOKUP($D1718,Sheet1!$M$5:$T$192,8,TRUE))</f>
        <v>8.8930804443670297E-2</v>
      </c>
      <c r="U1718" s="109" t="str">
        <f>IF(VLOOKUP($D1718,Sheet1!$M$5:$U$192,9,TRUE)=0,"",IF(ABS(D1718-VLOOKUP($D1718,Sheet1!$M$5:$U$192,9,TRUE))&lt;10^-10,"Alt.",D1718-VLOOKUP($D1718,Sheet1!$M$5:$U$192,9,TRUE)))</f>
        <v/>
      </c>
      <c r="V1718" s="132">
        <f>$D1718-Sheet1!$M$3*$R1718</f>
        <v>0.18080647693633978</v>
      </c>
    </row>
    <row r="1719" spans="1:22" ht="13.5">
      <c r="A1719" t="s">
        <v>1553</v>
      </c>
      <c r="B1719">
        <v>36207</v>
      </c>
      <c r="C1719">
        <v>37376</v>
      </c>
      <c r="D1719" s="13">
        <f t="shared" si="35"/>
        <v>55.012241774489837</v>
      </c>
      <c r="E1719" s="61" t="s">
        <v>1931</v>
      </c>
      <c r="F1719" s="65">
        <v>227.48333186656524</v>
      </c>
      <c r="G1719" s="6">
        <v>1460</v>
      </c>
      <c r="H1719" s="6">
        <v>1402</v>
      </c>
      <c r="I1719" s="65">
        <v>-8.387304146563892</v>
      </c>
      <c r="J1719" s="6">
        <f>VLOOKUP($D1719,Sheet1!$A$5:$C$192,3,TRUE)</f>
        <v>10</v>
      </c>
      <c r="K1719" s="42" t="str">
        <f>VLOOKUP($D1719,Sheet1!$A$5:$C$192,2,TRUE)</f>
        <v>/|\</v>
      </c>
      <c r="L1719" s="6">
        <f>FLOOR(VLOOKUP($D1719,Sheet1!$D$5:$F$192,3,TRUE),1)</f>
        <v>23</v>
      </c>
      <c r="M1719" s="42" t="str">
        <f>VLOOKUP($D1719,Sheet1!$D$5:$F$192,2,TRUE)</f>
        <v>(/|</v>
      </c>
      <c r="N1719" s="23">
        <f>FLOOR(VLOOKUP($D1719,Sheet1!$G$5:$I$192,3,TRUE),1)</f>
        <v>28</v>
      </c>
      <c r="O1719" s="42" t="str">
        <f>VLOOKUP($D1719,Sheet1!$G$5:$I$192,2,TRUE)</f>
        <v>(/|</v>
      </c>
      <c r="P1719" s="23">
        <v>1</v>
      </c>
      <c r="Q1719" s="43" t="str">
        <f>VLOOKUP($D1719,Sheet1!$J$5:$L$192,2,TRUE)</f>
        <v>(/|'</v>
      </c>
      <c r="R1719" s="23">
        <f>FLOOR(VLOOKUP($D1719,Sheet1!$M$5:$O$192,3,TRUE),1)</f>
        <v>113</v>
      </c>
      <c r="S1719" s="42" t="str">
        <f>VLOOKUP($D1719,Sheet1!$M$5:$O$192,2,TRUE)</f>
        <v>(/|'</v>
      </c>
      <c r="T1719" s="117">
        <f>IF(ABS(D1719-VLOOKUP($D1719,Sheet1!$M$5:$T$192,8,TRUE))&lt;10^-10,"SoCA",D1719-VLOOKUP($D1719,Sheet1!$M$5:$T$192,8,TRUE))</f>
        <v>6.1342008334371201E-2</v>
      </c>
      <c r="U1719" s="109">
        <f>IF(VLOOKUP($D1719,Sheet1!$M$5:$U$192,9,TRUE)=0,"",IF(ABS(D1719-VLOOKUP($D1719,Sheet1!$M$5:$U$192,9,TRUE))&lt;10^-10,"Alt.",D1719-VLOOKUP($D1719,Sheet1!$M$5:$U$192,9,TRUE)))</f>
        <v>8.8302303536806903E-2</v>
      </c>
      <c r="V1719" s="132">
        <f>$D1719-Sheet1!$M$3*$R1719</f>
        <v>-0.12254657109577494</v>
      </c>
    </row>
    <row r="1720" spans="1:22" ht="13.5">
      <c r="A1720" t="s">
        <v>556</v>
      </c>
      <c r="B1720">
        <v>98512</v>
      </c>
      <c r="C1720">
        <v>101709</v>
      </c>
      <c r="D1720" s="13">
        <f t="shared" si="35"/>
        <v>55.291160274928338</v>
      </c>
      <c r="E1720" s="61" t="s">
        <v>1931</v>
      </c>
      <c r="F1720" s="65">
        <v>4734.2132537962516</v>
      </c>
      <c r="G1720" s="6">
        <v>468</v>
      </c>
      <c r="H1720" s="6">
        <v>400</v>
      </c>
      <c r="I1720" s="65">
        <v>-0.40447817479131176</v>
      </c>
      <c r="J1720" s="6">
        <f>VLOOKUP($D1720,Sheet1!$A$5:$C$192,3,TRUE)</f>
        <v>10</v>
      </c>
      <c r="K1720" s="42" t="str">
        <f>VLOOKUP($D1720,Sheet1!$A$5:$C$192,2,TRUE)</f>
        <v>/|\</v>
      </c>
      <c r="L1720" s="6">
        <f>FLOOR(VLOOKUP($D1720,Sheet1!$D$5:$F$192,3,TRUE),1)</f>
        <v>23</v>
      </c>
      <c r="M1720" s="42" t="str">
        <f>VLOOKUP($D1720,Sheet1!$D$5:$F$192,2,TRUE)</f>
        <v>(/|</v>
      </c>
      <c r="N1720" s="23">
        <f>FLOOR(VLOOKUP($D1720,Sheet1!$G$5:$I$192,3,TRUE),1)</f>
        <v>28</v>
      </c>
      <c r="O1720" s="42" t="str">
        <f>VLOOKUP($D1720,Sheet1!$G$5:$I$192,2,TRUE)</f>
        <v>'/|\</v>
      </c>
      <c r="P1720" s="23">
        <v>1</v>
      </c>
      <c r="Q1720" s="43" t="str">
        <f>VLOOKUP($D1720,Sheet1!$J$5:$L$192,2,TRUE)</f>
        <v>'/|\</v>
      </c>
      <c r="R1720" s="23">
        <f>FLOOR(VLOOKUP($D1720,Sheet1!$M$5:$O$192,3,TRUE),1)</f>
        <v>113</v>
      </c>
      <c r="S1720" s="42" t="str">
        <f>VLOOKUP($D1720,Sheet1!$M$5:$O$192,2,TRUE)</f>
        <v>'/|\</v>
      </c>
      <c r="T1720" s="117">
        <f>IF(ABS(D1720-VLOOKUP($D1720,Sheet1!$M$5:$T$192,8,TRUE))&lt;10^-10,"SoCA",D1720-VLOOKUP($D1720,Sheet1!$M$5:$T$192,8,TRUE))</f>
        <v>6.4496256850056E-2</v>
      </c>
      <c r="U1720" s="109" t="str">
        <f>IF(VLOOKUP($D1720,Sheet1!$M$5:$U$192,9,TRUE)=0,"",IF(ABS(D1720-VLOOKUP($D1720,Sheet1!$M$5:$U$192,9,TRUE))&lt;10^-10,"Alt.",D1720-VLOOKUP($D1720,Sheet1!$M$5:$U$192,9,TRUE)))</f>
        <v/>
      </c>
      <c r="V1720" s="132">
        <f>$D1720-Sheet1!$M$3*$R1720</f>
        <v>0.15637192934272548</v>
      </c>
    </row>
    <row r="1721" spans="1:22" ht="13.5">
      <c r="A1721" s="38" t="s">
        <v>493</v>
      </c>
      <c r="B1721" s="38">
        <f>2^8*7*13</f>
        <v>23296</v>
      </c>
      <c r="C1721" s="38">
        <f>3^7*11</f>
        <v>24057</v>
      </c>
      <c r="D1721" s="13">
        <f t="shared" si="35"/>
        <v>55.649380184033184</v>
      </c>
      <c r="E1721" s="61">
        <v>13</v>
      </c>
      <c r="F1721" s="65">
        <v>38.551176102842007</v>
      </c>
      <c r="G1721" s="6">
        <v>357</v>
      </c>
      <c r="H1721" s="6">
        <v>334</v>
      </c>
      <c r="I1721" s="65">
        <v>3.5734649203389202</v>
      </c>
      <c r="J1721" s="6">
        <f>VLOOKUP($D1721,Sheet1!$A$5:$C$192,3,TRUE)</f>
        <v>10</v>
      </c>
      <c r="K1721" s="42" t="str">
        <f>VLOOKUP($D1721,Sheet1!$A$5:$C$192,2,TRUE)</f>
        <v>/|\</v>
      </c>
      <c r="L1721" s="6">
        <f>FLOOR(VLOOKUP($D1721,Sheet1!$D$5:$F$192,3,TRUE),1)</f>
        <v>23</v>
      </c>
      <c r="M1721" s="42" t="str">
        <f>VLOOKUP($D1721,Sheet1!$D$5:$F$192,2,TRUE)</f>
        <v>(/|</v>
      </c>
      <c r="N1721" s="23">
        <f>FLOOR(VLOOKUP($D1721,Sheet1!$G$5:$I$192,3,TRUE),1)</f>
        <v>28</v>
      </c>
      <c r="O1721" s="42" t="str">
        <f>VLOOKUP($D1721,Sheet1!$G$5:$I$192,2,TRUE)</f>
        <v>'/|\</v>
      </c>
      <c r="P1721" s="23">
        <v>1</v>
      </c>
      <c r="Q1721" s="45" t="str">
        <f>VLOOKUP($D1721,Sheet1!$J$5:$L$192,2,TRUE)</f>
        <v>'/|\'</v>
      </c>
      <c r="R1721" s="38">
        <f>FLOOR(VLOOKUP($D1721,Sheet1!$M$5:$O$192,3,TRUE),1)</f>
        <v>114</v>
      </c>
      <c r="S1721" s="45" t="str">
        <f>VLOOKUP($D1721,Sheet1!$M$5:$O$192,2,TRUE)</f>
        <v>'/|\'</v>
      </c>
      <c r="T1721" s="112" t="str">
        <f>IF(ABS(D1721-VLOOKUP($D1721,Sheet1!$M$5:$T$192,8,TRUE))&lt;10^-10,"SoCA",D1721-VLOOKUP($D1721,Sheet1!$M$5:$T$192,8,TRUE))</f>
        <v>SoCA</v>
      </c>
      <c r="U1721" s="108">
        <f>IF(VLOOKUP($D1721,Sheet1!$M$5:$U$192,9,TRUE)=0,"",IF(ABS(D1721-VLOOKUP($D1721,Sheet1!$M$5:$U$192,9,TRUE))&lt;10^-10,"Alt.",D1721-VLOOKUP($D1721,Sheet1!$M$5:$U$192,9,TRUE)))</f>
        <v>2.6960295202513862E-2</v>
      </c>
      <c r="V1721" s="133">
        <f>$D1721-Sheet1!$M$3*$R1721</f>
        <v>2.6673357513189444E-2</v>
      </c>
    </row>
    <row r="1722" spans="1:22" ht="13.5">
      <c r="A1722" s="21" t="s">
        <v>355</v>
      </c>
      <c r="B1722" s="21">
        <f>2^14*19</f>
        <v>311296</v>
      </c>
      <c r="C1722" s="21">
        <f>3^8*7^2</f>
        <v>321489</v>
      </c>
      <c r="D1722" s="13">
        <f t="shared" si="35"/>
        <v>55.778803729046643</v>
      </c>
      <c r="E1722" s="61">
        <v>19</v>
      </c>
      <c r="F1722" s="65">
        <v>42.346540382280949</v>
      </c>
      <c r="G1722" s="6">
        <v>196.1</v>
      </c>
      <c r="H1722" s="6">
        <v>190.1</v>
      </c>
      <c r="I1722" s="65">
        <v>4.5654958411567961</v>
      </c>
      <c r="J1722" s="6">
        <f>VLOOKUP($D1722,Sheet1!$A$5:$C$192,3,TRUE)</f>
        <v>10</v>
      </c>
      <c r="K1722" s="42" t="str">
        <f>VLOOKUP($D1722,Sheet1!$A$5:$C$192,2,TRUE)</f>
        <v>/|\</v>
      </c>
      <c r="L1722" s="6">
        <f>FLOOR(VLOOKUP($D1722,Sheet1!$D$5:$F$192,3,TRUE),1)</f>
        <v>23</v>
      </c>
      <c r="M1722" s="42" t="str">
        <f>VLOOKUP($D1722,Sheet1!$D$5:$F$192,2,TRUE)</f>
        <v>(/|</v>
      </c>
      <c r="N1722" s="23">
        <f>FLOOR(VLOOKUP($D1722,Sheet1!$G$5:$I$192,3,TRUE),1)</f>
        <v>28</v>
      </c>
      <c r="O1722" s="42" t="str">
        <f>VLOOKUP($D1722,Sheet1!$G$5:$I$192,2,TRUE)</f>
        <v>'/|\</v>
      </c>
      <c r="P1722" s="23">
        <v>1</v>
      </c>
      <c r="Q1722" s="43" t="str">
        <f>VLOOKUP($D1722,Sheet1!$J$5:$L$192,2,TRUE)</f>
        <v>'/|\'</v>
      </c>
      <c r="R1722" s="23">
        <f>FLOOR(VLOOKUP($D1722,Sheet1!$M$5:$O$192,3,TRUE),1)</f>
        <v>114</v>
      </c>
      <c r="S1722" s="43" t="str">
        <f>VLOOKUP($D1722,Sheet1!$M$5:$O$192,2,TRUE)</f>
        <v>'/|\'</v>
      </c>
      <c r="T1722" s="117">
        <f>IF(ABS(D1722-VLOOKUP($D1722,Sheet1!$M$5:$T$192,8,TRUE))&lt;10^-10,"SoCA",D1722-VLOOKUP($D1722,Sheet1!$M$5:$T$192,8,TRUE))</f>
        <v>0.12942354501353748</v>
      </c>
      <c r="U1722" s="117">
        <f>IF(VLOOKUP($D1722,Sheet1!$M$5:$U$192,9,TRUE)=0,"",IF(ABS(D1722-VLOOKUP($D1722,Sheet1!$M$5:$U$192,9,TRUE))&lt;10^-10,"Alt.",D1722-VLOOKUP($D1722,Sheet1!$M$5:$U$192,9,TRUE)))</f>
        <v>0.15638384021597318</v>
      </c>
      <c r="V1722" s="132">
        <f>$D1722-Sheet1!$M$3*$R1722</f>
        <v>0.15609690252664876</v>
      </c>
    </row>
    <row r="1723" spans="1:22" ht="13.5">
      <c r="A1723" s="23" t="s">
        <v>1282</v>
      </c>
      <c r="B1723" s="23">
        <f>2^11*11^2</f>
        <v>247808</v>
      </c>
      <c r="C1723" s="23">
        <f>3^9*13</f>
        <v>255879</v>
      </c>
      <c r="D1723" s="13">
        <f t="shared" si="35"/>
        <v>55.48678482828376</v>
      </c>
      <c r="E1723" s="61">
        <v>13</v>
      </c>
      <c r="F1723" s="65">
        <v>47.584860827962061</v>
      </c>
      <c r="G1723" s="14">
        <v>1188.0999999999999</v>
      </c>
      <c r="H1723" s="14">
        <v>1131.0999999999999</v>
      </c>
      <c r="I1723" s="65">
        <v>5.5834765087595439</v>
      </c>
      <c r="J1723" s="6">
        <f>VLOOKUP($D1723,Sheet1!$A$5:$C$192,3,TRUE)</f>
        <v>10</v>
      </c>
      <c r="K1723" s="42" t="str">
        <f>VLOOKUP($D1723,Sheet1!$A$5:$C$192,2,TRUE)</f>
        <v>/|\</v>
      </c>
      <c r="L1723" s="6">
        <f>FLOOR(VLOOKUP($D1723,Sheet1!$D$5:$F$192,3,TRUE),1)</f>
        <v>23</v>
      </c>
      <c r="M1723" s="42" t="str">
        <f>VLOOKUP($D1723,Sheet1!$D$5:$F$192,2,TRUE)</f>
        <v>(/|</v>
      </c>
      <c r="N1723" s="23">
        <f>FLOOR(VLOOKUP($D1723,Sheet1!$G$5:$I$192,3,TRUE),1)</f>
        <v>28</v>
      </c>
      <c r="O1723" s="42" t="str">
        <f>VLOOKUP($D1723,Sheet1!$G$5:$I$192,2,TRUE)</f>
        <v>'/|\</v>
      </c>
      <c r="P1723" s="23">
        <v>1</v>
      </c>
      <c r="Q1723" s="43" t="str">
        <f>VLOOKUP($D1723,Sheet1!$J$5:$L$192,2,TRUE)</f>
        <v>'/|\'</v>
      </c>
      <c r="R1723" s="23">
        <f>FLOOR(VLOOKUP($D1723,Sheet1!$M$5:$O$192,3,TRUE),1)</f>
        <v>114</v>
      </c>
      <c r="S1723" s="43" t="str">
        <f>VLOOKUP($D1723,Sheet1!$M$5:$O$192,2,TRUE)</f>
        <v>'/|\'</v>
      </c>
      <c r="T1723" s="117">
        <f>IF(ABS(D1723-VLOOKUP($D1723,Sheet1!$M$5:$T$192,8,TRUE))&lt;10^-10,"SoCA",D1723-VLOOKUP($D1723,Sheet1!$M$5:$T$192,8,TRUE))</f>
        <v>-0.16259535574934603</v>
      </c>
      <c r="U1723" s="117">
        <f>IF(VLOOKUP($D1723,Sheet1!$M$5:$U$192,9,TRUE)=0,"",IF(ABS(D1723-VLOOKUP($D1723,Sheet1!$M$5:$U$192,9,TRUE))&lt;10^-10,"Alt.",D1723-VLOOKUP($D1723,Sheet1!$M$5:$U$192,9,TRUE)))</f>
        <v>-0.13563506054691032</v>
      </c>
      <c r="V1723" s="132">
        <f>$D1723-Sheet1!$M$3*$R1723</f>
        <v>-0.13592199823623474</v>
      </c>
    </row>
    <row r="1724" spans="1:22" ht="13.5">
      <c r="A1724" s="6" t="s">
        <v>1746</v>
      </c>
      <c r="B1724" s="6">
        <f>3^7*7</f>
        <v>15309</v>
      </c>
      <c r="C1724" s="6">
        <f>2^6*13*19</f>
        <v>15808</v>
      </c>
      <c r="D1724" s="13">
        <f t="shared" si="35"/>
        <v>55.529765374776346</v>
      </c>
      <c r="E1724" s="61">
        <v>19</v>
      </c>
      <c r="F1724" s="65">
        <v>62.157876064156568</v>
      </c>
      <c r="G1724" s="6">
        <v>1395</v>
      </c>
      <c r="H1724" s="6">
        <v>1595</v>
      </c>
      <c r="I1724" s="65">
        <v>-10.41916996007466</v>
      </c>
      <c r="J1724" s="6">
        <f>VLOOKUP($D1724,Sheet1!$A$5:$C$192,3,TRUE)</f>
        <v>10</v>
      </c>
      <c r="K1724" s="42" t="str">
        <f>VLOOKUP($D1724,Sheet1!$A$5:$C$192,2,TRUE)</f>
        <v>/|\</v>
      </c>
      <c r="L1724" s="6">
        <f>FLOOR(VLOOKUP($D1724,Sheet1!$D$5:$F$192,3,TRUE),1)</f>
        <v>23</v>
      </c>
      <c r="M1724" s="42" t="str">
        <f>VLOOKUP($D1724,Sheet1!$D$5:$F$192,2,TRUE)</f>
        <v>(/|</v>
      </c>
      <c r="N1724" s="23">
        <f>FLOOR(VLOOKUP($D1724,Sheet1!$G$5:$I$192,3,TRUE),1)</f>
        <v>28</v>
      </c>
      <c r="O1724" s="42" t="str">
        <f>VLOOKUP($D1724,Sheet1!$G$5:$I$192,2,TRUE)</f>
        <v>'/|\</v>
      </c>
      <c r="P1724" s="23">
        <v>1</v>
      </c>
      <c r="Q1724" s="43" t="str">
        <f>VLOOKUP($D1724,Sheet1!$J$5:$L$192,2,TRUE)</f>
        <v>'/|\'</v>
      </c>
      <c r="R1724" s="23">
        <f>FLOOR(VLOOKUP($D1724,Sheet1!$M$5:$O$192,3,TRUE),1)</f>
        <v>114</v>
      </c>
      <c r="S1724" s="42" t="str">
        <f>VLOOKUP($D1724,Sheet1!$M$5:$O$192,2,TRUE)</f>
        <v>'/|\'</v>
      </c>
      <c r="T1724" s="117">
        <f>IF(ABS(D1724-VLOOKUP($D1724,Sheet1!$M$5:$T$192,8,TRUE))&lt;10^-10,"SoCA",D1724-VLOOKUP($D1724,Sheet1!$M$5:$T$192,8,TRUE))</f>
        <v>-0.11961480925675971</v>
      </c>
      <c r="U1724" s="109">
        <f>IF(VLOOKUP($D1724,Sheet1!$M$5:$U$192,9,TRUE)=0,"",IF(ABS(D1724-VLOOKUP($D1724,Sheet1!$M$5:$U$192,9,TRUE))&lt;10^-10,"Alt.",D1724-VLOOKUP($D1724,Sheet1!$M$5:$U$192,9,TRUE)))</f>
        <v>-9.2654514054324011E-2</v>
      </c>
      <c r="V1724" s="132">
        <f>$D1724-Sheet1!$M$3*$R1724</f>
        <v>-9.2941451743648429E-2</v>
      </c>
    </row>
    <row r="1725" spans="1:22" ht="13.5">
      <c r="A1725" s="6" t="s">
        <v>356</v>
      </c>
      <c r="B1725" s="6">
        <f>61</f>
        <v>61</v>
      </c>
      <c r="C1725" s="6">
        <f>3^2*7</f>
        <v>63</v>
      </c>
      <c r="D1725" s="13">
        <f t="shared" si="35"/>
        <v>55.8511031244363</v>
      </c>
      <c r="E1725" s="61" t="s">
        <v>1931</v>
      </c>
      <c r="F1725" s="65">
        <v>68.07875593941074</v>
      </c>
      <c r="G1725" s="6">
        <v>211</v>
      </c>
      <c r="H1725" s="6">
        <v>191</v>
      </c>
      <c r="I1725" s="65">
        <v>-1.4389558960183835</v>
      </c>
      <c r="J1725" s="6">
        <f>VLOOKUP($D1725,Sheet1!$A$5:$C$192,3,TRUE)</f>
        <v>10</v>
      </c>
      <c r="K1725" s="42" t="str">
        <f>VLOOKUP($D1725,Sheet1!$A$5:$C$192,2,TRUE)</f>
        <v>/|\</v>
      </c>
      <c r="L1725" s="6">
        <f>FLOOR(VLOOKUP($D1725,Sheet1!$D$5:$F$192,3,TRUE),1)</f>
        <v>23</v>
      </c>
      <c r="M1725" s="42" t="str">
        <f>VLOOKUP($D1725,Sheet1!$D$5:$F$192,2,TRUE)</f>
        <v>(/|</v>
      </c>
      <c r="N1725" s="23">
        <f>FLOOR(VLOOKUP($D1725,Sheet1!$G$5:$I$192,3,TRUE),1)</f>
        <v>28</v>
      </c>
      <c r="O1725" s="42" t="str">
        <f>VLOOKUP($D1725,Sheet1!$G$5:$I$192,2,TRUE)</f>
        <v>'/|\</v>
      </c>
      <c r="P1725" s="23">
        <v>1</v>
      </c>
      <c r="Q1725" s="43" t="str">
        <f>VLOOKUP($D1725,Sheet1!$J$5:$L$192,2,TRUE)</f>
        <v>'/|\'</v>
      </c>
      <c r="R1725" s="23">
        <f>FLOOR(VLOOKUP($D1725,Sheet1!$M$5:$O$192,3,TRUE),1)</f>
        <v>114</v>
      </c>
      <c r="S1725" s="42" t="str">
        <f>VLOOKUP($D1725,Sheet1!$M$5:$O$192,2,TRUE)</f>
        <v>'/|\'</v>
      </c>
      <c r="T1725" s="117">
        <f>IF(ABS(D1725-VLOOKUP($D1725,Sheet1!$M$5:$T$192,8,TRUE))&lt;10^-10,"SoCA",D1725-VLOOKUP($D1725,Sheet1!$M$5:$T$192,8,TRUE))</f>
        <v>0.20172294040319372</v>
      </c>
      <c r="U1725" s="109">
        <f>IF(VLOOKUP($D1725,Sheet1!$M$5:$U$192,9,TRUE)=0,"",IF(ABS(D1725-VLOOKUP($D1725,Sheet1!$M$5:$U$192,9,TRUE))&lt;10^-10,"Alt.",D1725-VLOOKUP($D1725,Sheet1!$M$5:$U$192,9,TRUE)))</f>
        <v>0.22868323560562942</v>
      </c>
      <c r="V1725" s="132">
        <f>$D1725-Sheet1!$M$3*$R1725</f>
        <v>0.228396297916305</v>
      </c>
    </row>
    <row r="1726" spans="1:22" ht="13.5">
      <c r="A1726" s="6" t="s">
        <v>1816</v>
      </c>
      <c r="B1726">
        <v>6561</v>
      </c>
      <c r="C1726">
        <v>6776</v>
      </c>
      <c r="D1726" s="13">
        <f t="shared" si="35"/>
        <v>55.821784275539052</v>
      </c>
      <c r="E1726" s="61">
        <v>11</v>
      </c>
      <c r="F1726" s="65">
        <v>75.129004997290792</v>
      </c>
      <c r="G1726" s="59">
        <v>1289</v>
      </c>
      <c r="H1726" s="63">
        <v>1000021</v>
      </c>
      <c r="I1726" s="65">
        <v>-11.437150627677397</v>
      </c>
      <c r="J1726" s="6">
        <f>VLOOKUP($D1726,Sheet1!$A$5:$C$192,3,TRUE)</f>
        <v>10</v>
      </c>
      <c r="K1726" s="42" t="str">
        <f>VLOOKUP($D1726,Sheet1!$A$5:$C$192,2,TRUE)</f>
        <v>/|\</v>
      </c>
      <c r="L1726" s="6">
        <f>FLOOR(VLOOKUP($D1726,Sheet1!$D$5:$F$192,3,TRUE),1)</f>
        <v>23</v>
      </c>
      <c r="M1726" s="42" t="str">
        <f>VLOOKUP($D1726,Sheet1!$D$5:$F$192,2,TRUE)</f>
        <v>(/|</v>
      </c>
      <c r="N1726" s="23">
        <f>FLOOR(VLOOKUP($D1726,Sheet1!$G$5:$I$192,3,TRUE),1)</f>
        <v>28</v>
      </c>
      <c r="O1726" s="42" t="str">
        <f>VLOOKUP($D1726,Sheet1!$G$5:$I$192,2,TRUE)</f>
        <v>'/|\</v>
      </c>
      <c r="P1726" s="23">
        <v>1</v>
      </c>
      <c r="Q1726" s="43" t="str">
        <f>VLOOKUP($D1726,Sheet1!$J$5:$L$192,2,TRUE)</f>
        <v>'/|\'</v>
      </c>
      <c r="R1726" s="23">
        <f>FLOOR(VLOOKUP($D1726,Sheet1!$M$5:$O$192,3,TRUE),1)</f>
        <v>114</v>
      </c>
      <c r="S1726" s="42" t="str">
        <f>VLOOKUP($D1726,Sheet1!$M$5:$O$192,2,TRUE)</f>
        <v>'/|\'</v>
      </c>
      <c r="T1726" s="117">
        <f>IF(ABS(D1726-VLOOKUP($D1726,Sheet1!$M$5:$T$192,8,TRUE))&lt;10^-10,"SoCA",D1726-VLOOKUP($D1726,Sheet1!$M$5:$T$192,8,TRUE))</f>
        <v>0.17240409150594616</v>
      </c>
      <c r="U1726" s="109">
        <f>IF(VLOOKUP($D1726,Sheet1!$M$5:$U$192,9,TRUE)=0,"",IF(ABS(D1726-VLOOKUP($D1726,Sheet1!$M$5:$U$192,9,TRUE))&lt;10^-10,"Alt.",D1726-VLOOKUP($D1726,Sheet1!$M$5:$U$192,9,TRUE)))</f>
        <v>0.19936438670838186</v>
      </c>
      <c r="V1726" s="132">
        <f>$D1726-Sheet1!$M$3*$R1726</f>
        <v>0.19907744901905744</v>
      </c>
    </row>
    <row r="1727" spans="1:22" ht="13.5">
      <c r="A1727" t="s">
        <v>657</v>
      </c>
      <c r="B1727">
        <v>153</v>
      </c>
      <c r="C1727">
        <v>158</v>
      </c>
      <c r="D1727" s="13">
        <f t="shared" si="35"/>
        <v>55.671486581341568</v>
      </c>
      <c r="E1727" s="61" t="s">
        <v>1931</v>
      </c>
      <c r="F1727" s="65">
        <v>96.595838425114678</v>
      </c>
      <c r="G1727" s="6">
        <v>525</v>
      </c>
      <c r="H1727" s="6">
        <v>502</v>
      </c>
      <c r="I1727" s="65">
        <v>-5.4278962510813473</v>
      </c>
      <c r="J1727" s="6">
        <f>VLOOKUP($D1727,Sheet1!$A$5:$C$192,3,TRUE)</f>
        <v>10</v>
      </c>
      <c r="K1727" s="42" t="str">
        <f>VLOOKUP($D1727,Sheet1!$A$5:$C$192,2,TRUE)</f>
        <v>/|\</v>
      </c>
      <c r="L1727" s="6">
        <f>FLOOR(VLOOKUP($D1727,Sheet1!$D$5:$F$192,3,TRUE),1)</f>
        <v>23</v>
      </c>
      <c r="M1727" s="42" t="str">
        <f>VLOOKUP($D1727,Sheet1!$D$5:$F$192,2,TRUE)</f>
        <v>(/|</v>
      </c>
      <c r="N1727" s="23">
        <f>FLOOR(VLOOKUP($D1727,Sheet1!$G$5:$I$192,3,TRUE),1)</f>
        <v>28</v>
      </c>
      <c r="O1727" s="42" t="str">
        <f>VLOOKUP($D1727,Sheet1!$G$5:$I$192,2,TRUE)</f>
        <v>'/|\</v>
      </c>
      <c r="P1727" s="23">
        <v>1</v>
      </c>
      <c r="Q1727" s="43" t="str">
        <f>VLOOKUP($D1727,Sheet1!$J$5:$L$192,2,TRUE)</f>
        <v>'/|\'</v>
      </c>
      <c r="R1727" s="23">
        <f>FLOOR(VLOOKUP($D1727,Sheet1!$M$5:$O$192,3,TRUE),1)</f>
        <v>114</v>
      </c>
      <c r="S1727" s="42" t="str">
        <f>VLOOKUP($D1727,Sheet1!$M$5:$O$192,2,TRUE)</f>
        <v>'/|\'</v>
      </c>
      <c r="T1727" s="117">
        <f>IF(ABS(D1727-VLOOKUP($D1727,Sheet1!$M$5:$T$192,8,TRUE))&lt;10^-10,"SoCA",D1727-VLOOKUP($D1727,Sheet1!$M$5:$T$192,8,TRUE))</f>
        <v>2.2106397308462533E-2</v>
      </c>
      <c r="U1727" s="109">
        <f>IF(VLOOKUP($D1727,Sheet1!$M$5:$U$192,9,TRUE)=0,"",IF(ABS(D1727-VLOOKUP($D1727,Sheet1!$M$5:$U$192,9,TRUE))&lt;10^-10,"Alt.",D1727-VLOOKUP($D1727,Sheet1!$M$5:$U$192,9,TRUE)))</f>
        <v>4.9066692510898235E-2</v>
      </c>
      <c r="V1727" s="132">
        <f>$D1727-Sheet1!$M$3*$R1727</f>
        <v>4.8779754821573817E-2</v>
      </c>
    </row>
    <row r="1728" spans="1:22" ht="13.5">
      <c r="A1728" t="s">
        <v>421</v>
      </c>
      <c r="B1728">
        <v>1072</v>
      </c>
      <c r="C1728">
        <v>1107</v>
      </c>
      <c r="D1728" s="13">
        <f t="shared" si="35"/>
        <v>55.62037958853562</v>
      </c>
      <c r="E1728" s="61" t="s">
        <v>1931</v>
      </c>
      <c r="F1728" s="65">
        <v>108.1212950050674</v>
      </c>
      <c r="G1728" s="6">
        <v>305</v>
      </c>
      <c r="H1728" s="6">
        <v>259</v>
      </c>
      <c r="I1728" s="65">
        <v>-0.4247494073413729</v>
      </c>
      <c r="J1728" s="6">
        <f>VLOOKUP($D1728,Sheet1!$A$5:$C$192,3,TRUE)</f>
        <v>10</v>
      </c>
      <c r="K1728" s="42" t="str">
        <f>VLOOKUP($D1728,Sheet1!$A$5:$C$192,2,TRUE)</f>
        <v>/|\</v>
      </c>
      <c r="L1728" s="6">
        <f>FLOOR(VLOOKUP($D1728,Sheet1!$D$5:$F$192,3,TRUE),1)</f>
        <v>23</v>
      </c>
      <c r="M1728" s="42" t="str">
        <f>VLOOKUP($D1728,Sheet1!$D$5:$F$192,2,TRUE)</f>
        <v>(/|</v>
      </c>
      <c r="N1728" s="23">
        <f>FLOOR(VLOOKUP($D1728,Sheet1!$G$5:$I$192,3,TRUE),1)</f>
        <v>28</v>
      </c>
      <c r="O1728" s="42" t="str">
        <f>VLOOKUP($D1728,Sheet1!$G$5:$I$192,2,TRUE)</f>
        <v>'/|\</v>
      </c>
      <c r="P1728" s="23">
        <v>1</v>
      </c>
      <c r="Q1728" s="43" t="str">
        <f>VLOOKUP($D1728,Sheet1!$J$5:$L$192,2,TRUE)</f>
        <v>'/|\'</v>
      </c>
      <c r="R1728" s="23">
        <f>FLOOR(VLOOKUP($D1728,Sheet1!$M$5:$O$192,3,TRUE),1)</f>
        <v>114</v>
      </c>
      <c r="S1728" s="42" t="str">
        <f>VLOOKUP($D1728,Sheet1!$M$5:$O$192,2,TRUE)</f>
        <v>'/|\'</v>
      </c>
      <c r="T1728" s="117">
        <f>IF(ABS(D1728-VLOOKUP($D1728,Sheet1!$M$5:$T$192,8,TRUE))&lt;10^-10,"SoCA",D1728-VLOOKUP($D1728,Sheet1!$M$5:$T$192,8,TRUE))</f>
        <v>-2.9000595497485904E-2</v>
      </c>
      <c r="U1728" s="109">
        <f>IF(VLOOKUP($D1728,Sheet1!$M$5:$U$192,9,TRUE)=0,"",IF(ABS(D1728-VLOOKUP($D1728,Sheet1!$M$5:$U$192,9,TRUE))&lt;10^-10,"Alt.",D1728-VLOOKUP($D1728,Sheet1!$M$5:$U$192,9,TRUE)))</f>
        <v>-2.0403002950502014E-3</v>
      </c>
      <c r="V1728" s="132">
        <f>$D1728-Sheet1!$M$3*$R1728</f>
        <v>-2.3272379843746194E-3</v>
      </c>
    </row>
    <row r="1729" spans="1:22" ht="13.5">
      <c r="A1729" t="s">
        <v>1361</v>
      </c>
      <c r="B1729">
        <v>2727</v>
      </c>
      <c r="C1729">
        <v>2816</v>
      </c>
      <c r="D1729" s="13">
        <f t="shared" si="35"/>
        <v>55.599160466440829</v>
      </c>
      <c r="E1729" s="61" t="s">
        <v>1931</v>
      </c>
      <c r="F1729" s="65">
        <v>113.2275117827228</v>
      </c>
      <c r="G1729" s="6">
        <v>1275</v>
      </c>
      <c r="H1729" s="6">
        <v>1210</v>
      </c>
      <c r="I1729" s="65">
        <v>-6.4234428686885261</v>
      </c>
      <c r="J1729" s="6">
        <f>VLOOKUP($D1729,Sheet1!$A$5:$C$192,3,TRUE)</f>
        <v>10</v>
      </c>
      <c r="K1729" s="42" t="str">
        <f>VLOOKUP($D1729,Sheet1!$A$5:$C$192,2,TRUE)</f>
        <v>/|\</v>
      </c>
      <c r="L1729" s="6">
        <f>FLOOR(VLOOKUP($D1729,Sheet1!$D$5:$F$192,3,TRUE),1)</f>
        <v>23</v>
      </c>
      <c r="M1729" s="42" t="str">
        <f>VLOOKUP($D1729,Sheet1!$D$5:$F$192,2,TRUE)</f>
        <v>(/|</v>
      </c>
      <c r="N1729" s="23">
        <f>FLOOR(VLOOKUP($D1729,Sheet1!$G$5:$I$192,3,TRUE),1)</f>
        <v>28</v>
      </c>
      <c r="O1729" s="42" t="str">
        <f>VLOOKUP($D1729,Sheet1!$G$5:$I$192,2,TRUE)</f>
        <v>'/|\</v>
      </c>
      <c r="P1729" s="23">
        <v>1</v>
      </c>
      <c r="Q1729" s="43" t="str">
        <f>VLOOKUP($D1729,Sheet1!$J$5:$L$192,2,TRUE)</f>
        <v>'/|\'</v>
      </c>
      <c r="R1729" s="23">
        <f>FLOOR(VLOOKUP($D1729,Sheet1!$M$5:$O$192,3,TRUE),1)</f>
        <v>114</v>
      </c>
      <c r="S1729" s="42" t="str">
        <f>VLOOKUP($D1729,Sheet1!$M$5:$O$192,2,TRUE)</f>
        <v>'/|\'</v>
      </c>
      <c r="T1729" s="117">
        <f>IF(ABS(D1729-VLOOKUP($D1729,Sheet1!$M$5:$T$192,8,TRUE))&lt;10^-10,"SoCA",D1729-VLOOKUP($D1729,Sheet1!$M$5:$T$192,8,TRUE))</f>
        <v>-5.0219717592277391E-2</v>
      </c>
      <c r="U1729" s="109">
        <f>IF(VLOOKUP($D1729,Sheet1!$M$5:$U$192,9,TRUE)=0,"",IF(ABS(D1729-VLOOKUP($D1729,Sheet1!$M$5:$U$192,9,TRUE))&lt;10^-10,"Alt.",D1729-VLOOKUP($D1729,Sheet1!$M$5:$U$192,9,TRUE)))</f>
        <v>-2.3259422389841689E-2</v>
      </c>
      <c r="V1729" s="132">
        <f>$D1729-Sheet1!$M$3*$R1729</f>
        <v>-2.3546360079166107E-2</v>
      </c>
    </row>
    <row r="1730" spans="1:22" ht="13.5">
      <c r="A1730" t="s">
        <v>863</v>
      </c>
      <c r="B1730">
        <v>584</v>
      </c>
      <c r="C1730">
        <v>603</v>
      </c>
      <c r="D1730" s="13">
        <f t="shared" si="35"/>
        <v>55.427559624081013</v>
      </c>
      <c r="E1730" s="61" t="s">
        <v>1931</v>
      </c>
      <c r="F1730" s="65">
        <v>140.09120315467004</v>
      </c>
      <c r="G1730" s="6">
        <v>774</v>
      </c>
      <c r="H1730" s="6">
        <v>710</v>
      </c>
      <c r="I1730" s="65">
        <v>-1.412876779648526</v>
      </c>
      <c r="J1730" s="6">
        <f>VLOOKUP($D1730,Sheet1!$A$5:$C$192,3,TRUE)</f>
        <v>10</v>
      </c>
      <c r="K1730" s="42" t="str">
        <f>VLOOKUP($D1730,Sheet1!$A$5:$C$192,2,TRUE)</f>
        <v>/|\</v>
      </c>
      <c r="L1730" s="6">
        <f>FLOOR(VLOOKUP($D1730,Sheet1!$D$5:$F$192,3,TRUE),1)</f>
        <v>23</v>
      </c>
      <c r="M1730" s="42" t="str">
        <f>VLOOKUP($D1730,Sheet1!$D$5:$F$192,2,TRUE)</f>
        <v>(/|</v>
      </c>
      <c r="N1730" s="23">
        <f>FLOOR(VLOOKUP($D1730,Sheet1!$G$5:$I$192,3,TRUE),1)</f>
        <v>28</v>
      </c>
      <c r="O1730" s="42" t="str">
        <f>VLOOKUP($D1730,Sheet1!$G$5:$I$192,2,TRUE)</f>
        <v>'/|\</v>
      </c>
      <c r="P1730" s="23">
        <v>1</v>
      </c>
      <c r="Q1730" s="43" t="str">
        <f>VLOOKUP($D1730,Sheet1!$J$5:$L$192,2,TRUE)</f>
        <v>'/|\'</v>
      </c>
      <c r="R1730" s="23">
        <f>FLOOR(VLOOKUP($D1730,Sheet1!$M$5:$O$192,3,TRUE),1)</f>
        <v>114</v>
      </c>
      <c r="S1730" s="42" t="str">
        <f>VLOOKUP($D1730,Sheet1!$M$5:$O$192,2,TRUE)</f>
        <v>'/|\'</v>
      </c>
      <c r="T1730" s="117">
        <f>IF(ABS(D1730-VLOOKUP($D1730,Sheet1!$M$5:$T$192,8,TRUE))&lt;10^-10,"SoCA",D1730-VLOOKUP($D1730,Sheet1!$M$5:$T$192,8,TRUE))</f>
        <v>-0.22182055995209282</v>
      </c>
      <c r="U1730" s="109">
        <f>IF(VLOOKUP($D1730,Sheet1!$M$5:$U$192,9,TRUE)=0,"",IF(ABS(D1730-VLOOKUP($D1730,Sheet1!$M$5:$U$192,9,TRUE))&lt;10^-10,"Alt.",D1730-VLOOKUP($D1730,Sheet1!$M$5:$U$192,9,TRUE)))</f>
        <v>-0.19486026474965712</v>
      </c>
      <c r="V1730" s="132">
        <f>$D1730-Sheet1!$M$3*$R1730</f>
        <v>-0.19514720243898154</v>
      </c>
    </row>
    <row r="1731" spans="1:22" ht="13.5">
      <c r="A1731" t="s">
        <v>1459</v>
      </c>
      <c r="B1731">
        <v>406187217</v>
      </c>
      <c r="C1731">
        <v>419430400</v>
      </c>
      <c r="D1731" s="13">
        <f t="shared" ref="D1731:D1765" si="36">1200*LN($C1731/$B1731)/LN(2)</f>
        <v>55.543911557041547</v>
      </c>
      <c r="E1731" s="61" t="s">
        <v>1931</v>
      </c>
      <c r="F1731" s="65">
        <v>6017608.379860647</v>
      </c>
      <c r="G1731" s="6">
        <v>1372</v>
      </c>
      <c r="H1731" s="6">
        <v>1308</v>
      </c>
      <c r="I1731" s="65">
        <v>-7.4200409920540764</v>
      </c>
      <c r="J1731" s="6">
        <f>VLOOKUP($D1731,Sheet1!$A$5:$C$192,3,TRUE)</f>
        <v>10</v>
      </c>
      <c r="K1731" s="42" t="str">
        <f>VLOOKUP($D1731,Sheet1!$A$5:$C$192,2,TRUE)</f>
        <v>/|\</v>
      </c>
      <c r="L1731" s="6">
        <f>FLOOR(VLOOKUP($D1731,Sheet1!$D$5:$F$192,3,TRUE),1)</f>
        <v>23</v>
      </c>
      <c r="M1731" s="42" t="str">
        <f>VLOOKUP($D1731,Sheet1!$D$5:$F$192,2,TRUE)</f>
        <v>(/|</v>
      </c>
      <c r="N1731" s="23">
        <f>FLOOR(VLOOKUP($D1731,Sheet1!$G$5:$I$192,3,TRUE),1)</f>
        <v>28</v>
      </c>
      <c r="O1731" s="42" t="str">
        <f>VLOOKUP($D1731,Sheet1!$G$5:$I$192,2,TRUE)</f>
        <v>'/|\</v>
      </c>
      <c r="P1731" s="23">
        <v>1</v>
      </c>
      <c r="Q1731" s="43" t="str">
        <f>VLOOKUP($D1731,Sheet1!$J$5:$L$192,2,TRUE)</f>
        <v>'/|\'</v>
      </c>
      <c r="R1731" s="23">
        <f>FLOOR(VLOOKUP($D1731,Sheet1!$M$5:$O$192,3,TRUE),1)</f>
        <v>114</v>
      </c>
      <c r="S1731" s="42" t="str">
        <f>VLOOKUP($D1731,Sheet1!$M$5:$O$192,2,TRUE)</f>
        <v>'/|\'</v>
      </c>
      <c r="T1731" s="117">
        <f>IF(ABS(D1731-VLOOKUP($D1731,Sheet1!$M$5:$T$192,8,TRUE))&lt;10^-10,"SoCA",D1731-VLOOKUP($D1731,Sheet1!$M$5:$T$192,8,TRUE))</f>
        <v>-0.10546862699155923</v>
      </c>
      <c r="U1731" s="109">
        <f>IF(VLOOKUP($D1731,Sheet1!$M$5:$U$192,9,TRUE)=0,"",IF(ABS(D1731-VLOOKUP($D1731,Sheet1!$M$5:$U$192,9,TRUE))&lt;10^-10,"Alt.",D1731-VLOOKUP($D1731,Sheet1!$M$5:$U$192,9,TRUE)))</f>
        <v>-7.8508331789123531E-2</v>
      </c>
      <c r="V1731" s="132">
        <f>$D1731-Sheet1!$M$3*$R1731</f>
        <v>-7.8795269478447949E-2</v>
      </c>
    </row>
    <row r="1732" spans="1:22" ht="13.5">
      <c r="A1732" s="23" t="s">
        <v>219</v>
      </c>
      <c r="B1732" s="23">
        <f>3^6*17</f>
        <v>12393</v>
      </c>
      <c r="C1732" s="23">
        <f>2^9*5^2</f>
        <v>12800</v>
      </c>
      <c r="D1732" s="13">
        <f t="shared" si="36"/>
        <v>55.942013036937858</v>
      </c>
      <c r="E1732" s="61">
        <v>17</v>
      </c>
      <c r="F1732" s="65">
        <v>39.475934148607649</v>
      </c>
      <c r="G1732" s="6">
        <v>518</v>
      </c>
      <c r="H1732" s="6">
        <v>736</v>
      </c>
      <c r="I1732" s="65">
        <v>-9.4445535505339482</v>
      </c>
      <c r="J1732" s="6">
        <f>VLOOKUP($D1732,Sheet1!$A$5:$C$192,3,TRUE)</f>
        <v>10</v>
      </c>
      <c r="K1732" s="42" t="str">
        <f>VLOOKUP($D1732,Sheet1!$A$5:$C$192,2,TRUE)</f>
        <v>/|\</v>
      </c>
      <c r="L1732" s="6">
        <f>FLOOR(VLOOKUP($D1732,Sheet1!$D$5:$F$192,3,TRUE),1)</f>
        <v>23</v>
      </c>
      <c r="M1732" s="42" t="str">
        <f>VLOOKUP($D1732,Sheet1!$D$5:$F$192,2,TRUE)</f>
        <v>)/|\</v>
      </c>
      <c r="N1732" s="23">
        <f>FLOOR(VLOOKUP($D1732,Sheet1!$G$5:$I$192,3,TRUE),1)</f>
        <v>29</v>
      </c>
      <c r="O1732" s="42" t="str">
        <f>VLOOKUP($D1732,Sheet1!$G$5:$I$192,2,TRUE)</f>
        <v>)/|\</v>
      </c>
      <c r="P1732" s="23">
        <v>1</v>
      </c>
      <c r="Q1732" s="43" t="str">
        <f>VLOOKUP($D1732,Sheet1!$J$5:$L$192,2,TRUE)</f>
        <v>)/|\.</v>
      </c>
      <c r="R1732" s="23">
        <f>FLOOR(VLOOKUP($D1732,Sheet1!$M$5:$O$192,3,TRUE),1)</f>
        <v>115</v>
      </c>
      <c r="S1732" s="43" t="str">
        <f>VLOOKUP($D1732,Sheet1!$M$5:$O$192,2,TRUE)</f>
        <v>)/|\.</v>
      </c>
      <c r="T1732" s="117">
        <f>IF(ABS(D1732-VLOOKUP($D1732,Sheet1!$M$5:$T$192,8,TRUE))&lt;10^-10,"SoCA",D1732-VLOOKUP($D1732,Sheet1!$M$5:$T$192,8,TRUE))</f>
        <v>-0.1171751852419618</v>
      </c>
      <c r="U1732" s="117">
        <f>IF(VLOOKUP($D1732,Sheet1!$M$5:$U$192,9,TRUE)=0,"",IF(ABS(D1732-VLOOKUP($D1732,Sheet1!$M$5:$U$192,9,TRUE))&lt;10^-10,"Alt.",D1732-VLOOKUP($D1732,Sheet1!$M$5:$U$192,9,TRUE)))</f>
        <v>-0.1441354804443975</v>
      </c>
      <c r="V1732" s="132">
        <f>$D1732-Sheet1!$M$3*$R1732</f>
        <v>-0.16861227051652605</v>
      </c>
    </row>
    <row r="1733" spans="1:22" ht="13.5">
      <c r="A1733" s="6" t="s">
        <v>1074</v>
      </c>
      <c r="B1733" s="6">
        <f>11^2</f>
        <v>121</v>
      </c>
      <c r="C1733" s="6">
        <f>5^3</f>
        <v>125</v>
      </c>
      <c r="D1733" s="13">
        <f t="shared" si="36"/>
        <v>56.305256864990859</v>
      </c>
      <c r="E1733" s="61">
        <v>11</v>
      </c>
      <c r="F1733" s="65">
        <v>44.522010315969126</v>
      </c>
      <c r="G1733" s="6">
        <v>989</v>
      </c>
      <c r="H1733" s="6">
        <v>923</v>
      </c>
      <c r="I1733" s="65">
        <v>-3.4669197963964868</v>
      </c>
      <c r="J1733" s="6">
        <f>VLOOKUP($D1733,Sheet1!$A$5:$C$192,3,TRUE)</f>
        <v>10</v>
      </c>
      <c r="K1733" s="42" t="str">
        <f>VLOOKUP($D1733,Sheet1!$A$5:$C$192,2,TRUE)</f>
        <v>/|\</v>
      </c>
      <c r="L1733" s="6">
        <f>FLOOR(VLOOKUP($D1733,Sheet1!$D$5:$F$192,3,TRUE),1)</f>
        <v>23</v>
      </c>
      <c r="M1733" s="42" t="str">
        <f>VLOOKUP($D1733,Sheet1!$D$5:$F$192,2,TRUE)</f>
        <v>)/|\</v>
      </c>
      <c r="N1733" s="23">
        <f>FLOOR(VLOOKUP($D1733,Sheet1!$G$5:$I$192,3,TRUE),1)</f>
        <v>29</v>
      </c>
      <c r="O1733" s="42" t="str">
        <f>VLOOKUP($D1733,Sheet1!$G$5:$I$192,2,TRUE)</f>
        <v>)/|\</v>
      </c>
      <c r="P1733" s="23">
        <v>1</v>
      </c>
      <c r="Q1733" s="43" t="str">
        <f>VLOOKUP($D1733,Sheet1!$J$5:$L$192,2,TRUE)</f>
        <v>)/|\.</v>
      </c>
      <c r="R1733" s="23">
        <f>FLOOR(VLOOKUP($D1733,Sheet1!$M$5:$O$192,3,TRUE),1)</f>
        <v>115</v>
      </c>
      <c r="S1733" s="42" t="str">
        <f>VLOOKUP($D1733,Sheet1!$M$5:$O$192,2,TRUE)</f>
        <v>)/|\.</v>
      </c>
      <c r="T1733" s="117">
        <f>IF(ABS(D1733-VLOOKUP($D1733,Sheet1!$M$5:$T$192,8,TRUE))&lt;10^-10,"SoCA",D1733-VLOOKUP($D1733,Sheet1!$M$5:$T$192,8,TRUE))</f>
        <v>0.24606864281103924</v>
      </c>
      <c r="U1733" s="109">
        <f>IF(VLOOKUP($D1733,Sheet1!$M$5:$U$192,9,TRUE)=0,"",IF(ABS(D1733-VLOOKUP($D1733,Sheet1!$M$5:$U$192,9,TRUE))&lt;10^-10,"Alt.",D1733-VLOOKUP($D1733,Sheet1!$M$5:$U$192,9,TRUE)))</f>
        <v>0.21910834760860354</v>
      </c>
      <c r="V1733" s="132">
        <f>$D1733-Sheet1!$M$3*$R1733</f>
        <v>0.19463155753647499</v>
      </c>
    </row>
    <row r="1734" spans="1:22" ht="13.5">
      <c r="A1734" s="38" t="s">
        <v>1777</v>
      </c>
      <c r="B1734" s="38">
        <f>2^6*3^2</f>
        <v>576</v>
      </c>
      <c r="C1734" s="38">
        <f>5*7*17</f>
        <v>595</v>
      </c>
      <c r="D1734" s="13">
        <f t="shared" si="36"/>
        <v>56.185028103592295</v>
      </c>
      <c r="E1734" s="61">
        <v>17</v>
      </c>
      <c r="F1734" s="65">
        <v>46.855311345737078</v>
      </c>
      <c r="G1734" s="63">
        <v>10001</v>
      </c>
      <c r="H1734" s="59">
        <v>516.5</v>
      </c>
      <c r="I1734" s="65">
        <v>-5.4595168735399522</v>
      </c>
      <c r="J1734" s="6">
        <f>VLOOKUP($D1734,Sheet1!$A$5:$C$192,3,TRUE)</f>
        <v>10</v>
      </c>
      <c r="K1734" s="42" t="str">
        <f>VLOOKUP($D1734,Sheet1!$A$5:$C$192,2,TRUE)</f>
        <v>/|\</v>
      </c>
      <c r="L1734" s="6">
        <f>FLOOR(VLOOKUP($D1734,Sheet1!$D$5:$F$192,3,TRUE),1)</f>
        <v>23</v>
      </c>
      <c r="M1734" s="42" t="str">
        <f>VLOOKUP($D1734,Sheet1!$D$5:$F$192,2,TRUE)</f>
        <v>)/|\</v>
      </c>
      <c r="N1734" s="23">
        <f>FLOOR(VLOOKUP($D1734,Sheet1!$G$5:$I$192,3,TRUE),1)</f>
        <v>29</v>
      </c>
      <c r="O1734" s="42" t="str">
        <f>VLOOKUP($D1734,Sheet1!$G$5:$I$192,2,TRUE)</f>
        <v>)/|\</v>
      </c>
      <c r="P1734" s="23">
        <v>1</v>
      </c>
      <c r="Q1734" s="45" t="str">
        <f>VLOOKUP($D1734,Sheet1!$J$5:$L$192,2,TRUE)</f>
        <v>)/|\.</v>
      </c>
      <c r="R1734" s="38">
        <f>FLOOR(VLOOKUP($D1734,Sheet1!$M$5:$O$192,3,TRUE),1)</f>
        <v>115</v>
      </c>
      <c r="S1734" s="45" t="str">
        <f>VLOOKUP($D1734,Sheet1!$M$5:$O$192,2,TRUE)</f>
        <v>)/|\.</v>
      </c>
      <c r="T1734" s="108">
        <f>IF(ABS(D1734-VLOOKUP($D1734,Sheet1!$M$5:$T$192,8,TRUE))&lt;10^-10,"SoCA",D1734-VLOOKUP($D1734,Sheet1!$M$5:$T$192,8,TRUE))</f>
        <v>0.1258398814124746</v>
      </c>
      <c r="U1734" s="108">
        <f>IF(VLOOKUP($D1734,Sheet1!$M$5:$U$192,9,TRUE)=0,"",IF(ABS(D1734-VLOOKUP($D1734,Sheet1!$M$5:$U$192,9,TRUE))&lt;10^-10,"Alt.",D1734-VLOOKUP($D1734,Sheet1!$M$5:$U$192,9,TRUE)))</f>
        <v>9.8879586210038894E-2</v>
      </c>
      <c r="V1734" s="133">
        <f>$D1734-Sheet1!$M$3*$R1734</f>
        <v>7.4402796137910343E-2</v>
      </c>
    </row>
    <row r="1735" spans="1:22" ht="13.5">
      <c r="A1735" s="21" t="s">
        <v>329</v>
      </c>
      <c r="B1735" s="21">
        <f>2^9*17</f>
        <v>8704</v>
      </c>
      <c r="C1735" s="21">
        <f>3^5*37</f>
        <v>8991</v>
      </c>
      <c r="D1735" s="13">
        <f t="shared" si="36"/>
        <v>56.163633581269515</v>
      </c>
      <c r="E1735" s="61">
        <v>37</v>
      </c>
      <c r="F1735" s="65">
        <v>54.388166745387885</v>
      </c>
      <c r="G1735" s="6">
        <v>179.1</v>
      </c>
      <c r="H1735" s="6">
        <v>161.1</v>
      </c>
      <c r="I1735" s="65">
        <v>1.5418004651439499</v>
      </c>
      <c r="J1735" s="6">
        <f>VLOOKUP($D1735,Sheet1!$A$5:$C$192,3,TRUE)</f>
        <v>10</v>
      </c>
      <c r="K1735" s="42" t="str">
        <f>VLOOKUP($D1735,Sheet1!$A$5:$C$192,2,TRUE)</f>
        <v>/|\</v>
      </c>
      <c r="L1735" s="6">
        <f>FLOOR(VLOOKUP($D1735,Sheet1!$D$5:$F$192,3,TRUE),1)</f>
        <v>23</v>
      </c>
      <c r="M1735" s="42" t="str">
        <f>VLOOKUP($D1735,Sheet1!$D$5:$F$192,2,TRUE)</f>
        <v>)/|\</v>
      </c>
      <c r="N1735" s="23">
        <f>FLOOR(VLOOKUP($D1735,Sheet1!$G$5:$I$192,3,TRUE),1)</f>
        <v>29</v>
      </c>
      <c r="O1735" s="42" t="str">
        <f>VLOOKUP($D1735,Sheet1!$G$5:$I$192,2,TRUE)</f>
        <v>)/|\</v>
      </c>
      <c r="P1735" s="23">
        <v>1</v>
      </c>
      <c r="Q1735" s="43" t="str">
        <f>VLOOKUP($D1735,Sheet1!$J$5:$L$192,2,TRUE)</f>
        <v>)/|\.</v>
      </c>
      <c r="R1735" s="23">
        <f>FLOOR(VLOOKUP($D1735,Sheet1!$M$5:$O$192,3,TRUE),1)</f>
        <v>115</v>
      </c>
      <c r="S1735" s="43" t="str">
        <f>VLOOKUP($D1735,Sheet1!$M$5:$O$192,2,TRUE)</f>
        <v>)/|\.</v>
      </c>
      <c r="T1735" s="117">
        <f>IF(ABS(D1735-VLOOKUP($D1735,Sheet1!$M$5:$T$192,8,TRUE))&lt;10^-10,"SoCA",D1735-VLOOKUP($D1735,Sheet1!$M$5:$T$192,8,TRUE))</f>
        <v>0.10444535908969499</v>
      </c>
      <c r="U1735" s="109">
        <f>IF(VLOOKUP($D1735,Sheet1!$M$5:$U$192,9,TRUE)=0,"",IF(ABS(D1735-VLOOKUP($D1735,Sheet1!$M$5:$U$192,9,TRUE))&lt;10^-10,"Alt.",D1735-VLOOKUP($D1735,Sheet1!$M$5:$U$192,9,TRUE)))</f>
        <v>7.7485063887259287E-2</v>
      </c>
      <c r="V1735" s="132">
        <f>$D1735-Sheet1!$M$3*$R1735</f>
        <v>5.3008273815130735E-2</v>
      </c>
    </row>
    <row r="1736" spans="1:22" ht="13.5">
      <c r="A1736" s="6" t="s">
        <v>975</v>
      </c>
      <c r="B1736" s="6">
        <f>11*13^2</f>
        <v>1859</v>
      </c>
      <c r="C1736" s="6">
        <f>2^7*3*5</f>
        <v>1920</v>
      </c>
      <c r="D1736" s="13">
        <f t="shared" si="36"/>
        <v>55.895448826844188</v>
      </c>
      <c r="E1736" s="61">
        <v>13</v>
      </c>
      <c r="F1736" s="65">
        <v>58.877690565397792</v>
      </c>
      <c r="G1736" s="6">
        <v>886</v>
      </c>
      <c r="H1736" s="6">
        <v>823</v>
      </c>
      <c r="I1736" s="65">
        <v>-2.441686422475827</v>
      </c>
      <c r="J1736" s="6">
        <f>VLOOKUP($D1736,Sheet1!$A$5:$C$192,3,TRUE)</f>
        <v>10</v>
      </c>
      <c r="K1736" s="42" t="str">
        <f>VLOOKUP($D1736,Sheet1!$A$5:$C$192,2,TRUE)</f>
        <v>/|\</v>
      </c>
      <c r="L1736" s="6">
        <f>FLOOR(VLOOKUP($D1736,Sheet1!$D$5:$F$192,3,TRUE),1)</f>
        <v>23</v>
      </c>
      <c r="M1736" s="42" t="str">
        <f>VLOOKUP($D1736,Sheet1!$D$5:$F$192,2,TRUE)</f>
        <v>)/|\</v>
      </c>
      <c r="N1736" s="23">
        <f>FLOOR(VLOOKUP($D1736,Sheet1!$G$5:$I$192,3,TRUE),1)</f>
        <v>29</v>
      </c>
      <c r="O1736" s="42" t="str">
        <f>VLOOKUP($D1736,Sheet1!$G$5:$I$192,2,TRUE)</f>
        <v>)/|\</v>
      </c>
      <c r="P1736" s="23">
        <v>1</v>
      </c>
      <c r="Q1736" s="43" t="str">
        <f>VLOOKUP($D1736,Sheet1!$J$5:$L$192,2,TRUE)</f>
        <v>)/|\.</v>
      </c>
      <c r="R1736" s="23">
        <f>FLOOR(VLOOKUP($D1736,Sheet1!$M$5:$O$192,3,TRUE),1)</f>
        <v>115</v>
      </c>
      <c r="S1736" s="42" t="str">
        <f>VLOOKUP($D1736,Sheet1!$M$5:$O$192,2,TRUE)</f>
        <v>)/|\.</v>
      </c>
      <c r="T1736" s="117">
        <f>IF(ABS(D1736-VLOOKUP($D1736,Sheet1!$M$5:$T$192,8,TRUE))&lt;10^-10,"SoCA",D1736-VLOOKUP($D1736,Sheet1!$M$5:$T$192,8,TRUE))</f>
        <v>-0.16373939533563231</v>
      </c>
      <c r="U1736" s="109">
        <f>IF(VLOOKUP($D1736,Sheet1!$M$5:$U$192,9,TRUE)=0,"",IF(ABS(D1736-VLOOKUP($D1736,Sheet1!$M$5:$U$192,9,TRUE))&lt;10^-10,"Alt.",D1736-VLOOKUP($D1736,Sheet1!$M$5:$U$192,9,TRUE)))</f>
        <v>-0.19069969053806801</v>
      </c>
      <c r="V1736" s="132">
        <f>$D1736-Sheet1!$M$3*$R1736</f>
        <v>-0.21517648061019656</v>
      </c>
    </row>
    <row r="1737" spans="1:22" ht="13.5">
      <c r="A1737" s="23" t="s">
        <v>445</v>
      </c>
      <c r="B1737" s="23">
        <f>5*7*11^2</f>
        <v>4235</v>
      </c>
      <c r="C1737" s="23">
        <f>2*3^7</f>
        <v>4374</v>
      </c>
      <c r="D1737" s="13">
        <f t="shared" si="36"/>
        <v>55.909500994238705</v>
      </c>
      <c r="E1737" s="61">
        <v>11</v>
      </c>
      <c r="F1737" s="65">
        <v>62.58349947052379</v>
      </c>
      <c r="G1737" s="6">
        <v>313.10000000000002</v>
      </c>
      <c r="H1737" s="6">
        <v>283.10000000000002</v>
      </c>
      <c r="I1737" s="65">
        <v>3.5574483343828596</v>
      </c>
      <c r="J1737" s="6">
        <f>VLOOKUP($D1737,Sheet1!$A$5:$C$192,3,TRUE)</f>
        <v>10</v>
      </c>
      <c r="K1737" s="42" t="str">
        <f>VLOOKUP($D1737,Sheet1!$A$5:$C$192,2,TRUE)</f>
        <v>/|\</v>
      </c>
      <c r="L1737" s="6">
        <f>FLOOR(VLOOKUP($D1737,Sheet1!$D$5:$F$192,3,TRUE),1)</f>
        <v>23</v>
      </c>
      <c r="M1737" s="42" t="str">
        <f>VLOOKUP($D1737,Sheet1!$D$5:$F$192,2,TRUE)</f>
        <v>)/|\</v>
      </c>
      <c r="N1737" s="23">
        <f>FLOOR(VLOOKUP($D1737,Sheet1!$G$5:$I$192,3,TRUE),1)</f>
        <v>29</v>
      </c>
      <c r="O1737" s="42" t="str">
        <f>VLOOKUP($D1737,Sheet1!$G$5:$I$192,2,TRUE)</f>
        <v>)/|\</v>
      </c>
      <c r="P1737" s="23">
        <v>1</v>
      </c>
      <c r="Q1737" s="43" t="str">
        <f>VLOOKUP($D1737,Sheet1!$J$5:$L$192,2,TRUE)</f>
        <v>)/|\.</v>
      </c>
      <c r="R1737" s="23">
        <f>FLOOR(VLOOKUP($D1737,Sheet1!$M$5:$O$192,3,TRUE),1)</f>
        <v>115</v>
      </c>
      <c r="S1737" s="43" t="str">
        <f>VLOOKUP($D1737,Sheet1!$M$5:$O$192,2,TRUE)</f>
        <v>)/|\.</v>
      </c>
      <c r="T1737" s="117">
        <f>IF(ABS(D1737-VLOOKUP($D1737,Sheet1!$M$5:$T$192,8,TRUE))&lt;10^-10,"SoCA",D1737-VLOOKUP($D1737,Sheet1!$M$5:$T$192,8,TRUE))</f>
        <v>-0.149687227941115</v>
      </c>
      <c r="U1737" s="109">
        <f>IF(VLOOKUP($D1737,Sheet1!$M$5:$U$192,9,TRUE)=0,"",IF(ABS(D1737-VLOOKUP($D1737,Sheet1!$M$5:$U$192,9,TRUE))&lt;10^-10,"Alt.",D1737-VLOOKUP($D1737,Sheet1!$M$5:$U$192,9,TRUE)))</f>
        <v>-0.1766475231435507</v>
      </c>
      <c r="V1737" s="132">
        <f>$D1737-Sheet1!$M$3*$R1737</f>
        <v>-0.20112431321567925</v>
      </c>
    </row>
    <row r="1738" spans="1:22" ht="13.5">
      <c r="A1738" s="6" t="s">
        <v>1886</v>
      </c>
      <c r="B1738">
        <v>360855</v>
      </c>
      <c r="C1738">
        <v>372736</v>
      </c>
      <c r="D1738" s="13">
        <f t="shared" si="36"/>
        <v>56.081905085744623</v>
      </c>
      <c r="E1738" s="61">
        <v>13</v>
      </c>
      <c r="F1738" s="65">
        <v>66.743352462554569</v>
      </c>
      <c r="G1738" s="59">
        <v>1722</v>
      </c>
      <c r="H1738" s="63">
        <v>1000091</v>
      </c>
      <c r="I1738" s="65">
        <v>-11.453167213633462</v>
      </c>
      <c r="J1738" s="6">
        <f>VLOOKUP($D1738,Sheet1!$A$5:$C$192,3,TRUE)</f>
        <v>10</v>
      </c>
      <c r="K1738" s="42" t="str">
        <f>VLOOKUP($D1738,Sheet1!$A$5:$C$192,2,TRUE)</f>
        <v>/|\</v>
      </c>
      <c r="L1738" s="6">
        <f>FLOOR(VLOOKUP($D1738,Sheet1!$D$5:$F$192,3,TRUE),1)</f>
        <v>23</v>
      </c>
      <c r="M1738" s="42" t="str">
        <f>VLOOKUP($D1738,Sheet1!$D$5:$F$192,2,TRUE)</f>
        <v>)/|\</v>
      </c>
      <c r="N1738" s="23">
        <f>FLOOR(VLOOKUP($D1738,Sheet1!$G$5:$I$192,3,TRUE),1)</f>
        <v>29</v>
      </c>
      <c r="O1738" s="42" t="str">
        <f>VLOOKUP($D1738,Sheet1!$G$5:$I$192,2,TRUE)</f>
        <v>)/|\</v>
      </c>
      <c r="P1738" s="23">
        <v>1</v>
      </c>
      <c r="Q1738" s="43" t="str">
        <f>VLOOKUP($D1738,Sheet1!$J$5:$L$192,2,TRUE)</f>
        <v>)/|\.</v>
      </c>
      <c r="R1738" s="23">
        <f>FLOOR(VLOOKUP($D1738,Sheet1!$M$5:$O$192,3,TRUE),1)</f>
        <v>115</v>
      </c>
      <c r="S1738" s="42" t="str">
        <f>VLOOKUP($D1738,Sheet1!$M$5:$O$192,2,TRUE)</f>
        <v>)/|\.</v>
      </c>
      <c r="T1738" s="117">
        <f>IF(ABS(D1738-VLOOKUP($D1738,Sheet1!$M$5:$T$192,8,TRUE))&lt;10^-10,"SoCA",D1738-VLOOKUP($D1738,Sheet1!$M$5:$T$192,8,TRUE))</f>
        <v>2.2716863564802736E-2</v>
      </c>
      <c r="U1738" s="109">
        <f>IF(VLOOKUP($D1738,Sheet1!$M$5:$U$192,9,TRUE)=0,"",IF(ABS(D1738-VLOOKUP($D1738,Sheet1!$M$5:$U$192,9,TRUE))&lt;10^-10,"Alt.",D1738-VLOOKUP($D1738,Sheet1!$M$5:$U$192,9,TRUE)))</f>
        <v>-4.2434316376329662E-3</v>
      </c>
      <c r="V1738" s="132">
        <f>$D1738-Sheet1!$M$3*$R1738</f>
        <v>-2.8720221709761518E-2</v>
      </c>
    </row>
    <row r="1739" spans="1:22" ht="13.5">
      <c r="A1739" t="s">
        <v>764</v>
      </c>
      <c r="B1739">
        <v>333</v>
      </c>
      <c r="C1739">
        <v>344</v>
      </c>
      <c r="D1739" s="13">
        <f t="shared" si="36"/>
        <v>56.263665157003004</v>
      </c>
      <c r="E1739" s="61">
        <v>43</v>
      </c>
      <c r="F1739" s="65">
        <v>80.586086190926025</v>
      </c>
      <c r="G1739" s="6">
        <v>625</v>
      </c>
      <c r="H1739" s="6">
        <v>610</v>
      </c>
      <c r="I1739" s="65">
        <v>-5.4643588434088324</v>
      </c>
      <c r="J1739" s="6">
        <f>VLOOKUP($D1739,Sheet1!$A$5:$C$192,3,TRUE)</f>
        <v>10</v>
      </c>
      <c r="K1739" s="42" t="str">
        <f>VLOOKUP($D1739,Sheet1!$A$5:$C$192,2,TRUE)</f>
        <v>/|\</v>
      </c>
      <c r="L1739" s="6">
        <f>FLOOR(VLOOKUP($D1739,Sheet1!$D$5:$F$192,3,TRUE),1)</f>
        <v>23</v>
      </c>
      <c r="M1739" s="42" t="str">
        <f>VLOOKUP($D1739,Sheet1!$D$5:$F$192,2,TRUE)</f>
        <v>)/|\</v>
      </c>
      <c r="N1739" s="23">
        <f>FLOOR(VLOOKUP($D1739,Sheet1!$G$5:$I$192,3,TRUE),1)</f>
        <v>29</v>
      </c>
      <c r="O1739" s="42" t="str">
        <f>VLOOKUP($D1739,Sheet1!$G$5:$I$192,2,TRUE)</f>
        <v>)/|\</v>
      </c>
      <c r="P1739" s="23">
        <v>1</v>
      </c>
      <c r="Q1739" s="43" t="str">
        <f>VLOOKUP($D1739,Sheet1!$J$5:$L$192,2,TRUE)</f>
        <v>)/|\.</v>
      </c>
      <c r="R1739" s="23">
        <f>FLOOR(VLOOKUP($D1739,Sheet1!$M$5:$O$192,3,TRUE),1)</f>
        <v>115</v>
      </c>
      <c r="S1739" s="42" t="str">
        <f>VLOOKUP($D1739,Sheet1!$M$5:$O$192,2,TRUE)</f>
        <v>)/|\.</v>
      </c>
      <c r="T1739" s="117">
        <f>IF(ABS(D1739-VLOOKUP($D1739,Sheet1!$M$5:$T$192,8,TRUE))&lt;10^-10,"SoCA",D1739-VLOOKUP($D1739,Sheet1!$M$5:$T$192,8,TRUE))</f>
        <v>0.20447693482318385</v>
      </c>
      <c r="U1739" s="109">
        <f>IF(VLOOKUP($D1739,Sheet1!$M$5:$U$192,9,TRUE)=0,"",IF(ABS(D1739-VLOOKUP($D1739,Sheet1!$M$5:$U$192,9,TRUE))&lt;10^-10,"Alt.",D1739-VLOOKUP($D1739,Sheet1!$M$5:$U$192,9,TRUE)))</f>
        <v>0.17751663962074815</v>
      </c>
      <c r="V1739" s="132">
        <f>$D1739-Sheet1!$M$3*$R1739</f>
        <v>0.1530398495486196</v>
      </c>
    </row>
    <row r="1740" spans="1:22" ht="13.5">
      <c r="A1740" t="s">
        <v>423</v>
      </c>
      <c r="B1740">
        <v>1856</v>
      </c>
      <c r="C1740">
        <v>1917</v>
      </c>
      <c r="D1740" s="13">
        <f t="shared" si="36"/>
        <v>55.984351848694061</v>
      </c>
      <c r="E1740" s="61" t="s">
        <v>1931</v>
      </c>
      <c r="F1740" s="65">
        <v>100.1196150089114</v>
      </c>
      <c r="G1740" s="6">
        <v>306</v>
      </c>
      <c r="H1740" s="6">
        <v>261</v>
      </c>
      <c r="I1740" s="65">
        <v>-0.44716050542246633</v>
      </c>
      <c r="J1740" s="6">
        <f>VLOOKUP($D1740,Sheet1!$A$5:$C$192,3,TRUE)</f>
        <v>10</v>
      </c>
      <c r="K1740" s="42" t="str">
        <f>VLOOKUP($D1740,Sheet1!$A$5:$C$192,2,TRUE)</f>
        <v>/|\</v>
      </c>
      <c r="L1740" s="6">
        <f>FLOOR(VLOOKUP($D1740,Sheet1!$D$5:$F$192,3,TRUE),1)</f>
        <v>23</v>
      </c>
      <c r="M1740" s="42" t="str">
        <f>VLOOKUP($D1740,Sheet1!$D$5:$F$192,2,TRUE)</f>
        <v>)/|\</v>
      </c>
      <c r="N1740" s="23">
        <f>FLOOR(VLOOKUP($D1740,Sheet1!$G$5:$I$192,3,TRUE),1)</f>
        <v>29</v>
      </c>
      <c r="O1740" s="42" t="str">
        <f>VLOOKUP($D1740,Sheet1!$G$5:$I$192,2,TRUE)</f>
        <v>)/|\</v>
      </c>
      <c r="P1740" s="23">
        <v>1</v>
      </c>
      <c r="Q1740" s="43" t="str">
        <f>VLOOKUP($D1740,Sheet1!$J$5:$L$192,2,TRUE)</f>
        <v>)/|\.</v>
      </c>
      <c r="R1740" s="23">
        <f>FLOOR(VLOOKUP($D1740,Sheet1!$M$5:$O$192,3,TRUE),1)</f>
        <v>115</v>
      </c>
      <c r="S1740" s="42" t="str">
        <f>VLOOKUP($D1740,Sheet1!$M$5:$O$192,2,TRUE)</f>
        <v>)/|\.</v>
      </c>
      <c r="T1740" s="117">
        <f>IF(ABS(D1740-VLOOKUP($D1740,Sheet1!$M$5:$T$192,8,TRUE))&lt;10^-10,"SoCA",D1740-VLOOKUP($D1740,Sheet1!$M$5:$T$192,8,TRUE))</f>
        <v>-7.4836373485759111E-2</v>
      </c>
      <c r="U1740" s="109">
        <f>IF(VLOOKUP($D1740,Sheet1!$M$5:$U$192,9,TRUE)=0,"",IF(ABS(D1740-VLOOKUP($D1740,Sheet1!$M$5:$U$192,9,TRUE))&lt;10^-10,"Alt.",D1740-VLOOKUP($D1740,Sheet1!$M$5:$U$192,9,TRUE)))</f>
        <v>-0.10179666868819481</v>
      </c>
      <c r="V1740" s="132">
        <f>$D1740-Sheet1!$M$3*$R1740</f>
        <v>-0.12627345876032336</v>
      </c>
    </row>
    <row r="1741" spans="1:22" ht="13.5">
      <c r="A1741" s="6" t="s">
        <v>713</v>
      </c>
      <c r="B1741" s="6">
        <f>2^2*5^3*7^3</f>
        <v>171500</v>
      </c>
      <c r="C1741" s="6">
        <f>3^11</f>
        <v>177147</v>
      </c>
      <c r="D1741" s="13">
        <f t="shared" si="36"/>
        <v>56.086148517382362</v>
      </c>
      <c r="E1741" s="61">
        <v>7</v>
      </c>
      <c r="F1741" s="65">
        <v>101.6557580162973</v>
      </c>
      <c r="G1741" s="6">
        <v>554</v>
      </c>
      <c r="H1741" s="6">
        <v>558</v>
      </c>
      <c r="I1741" s="65">
        <v>7.5465715028209388</v>
      </c>
      <c r="J1741" s="6">
        <f>VLOOKUP($D1741,Sheet1!$A$5:$C$192,3,TRUE)</f>
        <v>10</v>
      </c>
      <c r="K1741" s="42" t="str">
        <f>VLOOKUP($D1741,Sheet1!$A$5:$C$192,2,TRUE)</f>
        <v>/|\</v>
      </c>
      <c r="L1741" s="6">
        <f>FLOOR(VLOOKUP($D1741,Sheet1!$D$5:$F$192,3,TRUE),1)</f>
        <v>23</v>
      </c>
      <c r="M1741" s="42" t="str">
        <f>VLOOKUP($D1741,Sheet1!$D$5:$F$192,2,TRUE)</f>
        <v>)/|\</v>
      </c>
      <c r="N1741" s="23">
        <f>FLOOR(VLOOKUP($D1741,Sheet1!$G$5:$I$192,3,TRUE),1)</f>
        <v>29</v>
      </c>
      <c r="O1741" s="42" t="str">
        <f>VLOOKUP($D1741,Sheet1!$G$5:$I$192,2,TRUE)</f>
        <v>)/|\</v>
      </c>
      <c r="P1741" s="23">
        <v>1</v>
      </c>
      <c r="Q1741" s="43" t="str">
        <f>VLOOKUP($D1741,Sheet1!$J$5:$L$192,2,TRUE)</f>
        <v>)/|\.</v>
      </c>
      <c r="R1741" s="23">
        <f>FLOOR(VLOOKUP($D1741,Sheet1!$M$5:$O$192,3,TRUE),1)</f>
        <v>115</v>
      </c>
      <c r="S1741" s="42" t="str">
        <f>VLOOKUP($D1741,Sheet1!$M$5:$O$192,2,TRUE)</f>
        <v>)/|\.</v>
      </c>
      <c r="T1741" s="117">
        <f>IF(ABS(D1741-VLOOKUP($D1741,Sheet1!$M$5:$T$192,8,TRUE))&lt;10^-10,"SoCA",D1741-VLOOKUP($D1741,Sheet1!$M$5:$T$192,8,TRUE))</f>
        <v>2.6960295202542284E-2</v>
      </c>
      <c r="U1741" s="109" t="str">
        <f>IF(VLOOKUP($D1741,Sheet1!$M$5:$U$192,9,TRUE)=0,"",IF(ABS(D1741-VLOOKUP($D1741,Sheet1!$M$5:$U$192,9,TRUE))&lt;10^-10,"Alt.",D1741-VLOOKUP($D1741,Sheet1!$M$5:$U$192,9,TRUE)))</f>
        <v>Alt.</v>
      </c>
      <c r="V1741" s="132">
        <f>$D1741-Sheet1!$M$3*$R1741</f>
        <v>-2.447679007202197E-2</v>
      </c>
    </row>
    <row r="1742" spans="1:22" ht="13.5">
      <c r="A1742" t="s">
        <v>983</v>
      </c>
      <c r="B1742">
        <v>2686976</v>
      </c>
      <c r="C1742">
        <v>2775303</v>
      </c>
      <c r="D1742" s="13">
        <f t="shared" si="36"/>
        <v>55.994225125338694</v>
      </c>
      <c r="E1742" s="61">
        <v>47</v>
      </c>
      <c r="F1742" s="65">
        <v>101.89381034090702</v>
      </c>
      <c r="G1742" s="6">
        <v>699</v>
      </c>
      <c r="H1742" s="6">
        <v>831</v>
      </c>
      <c r="I1742" s="65">
        <v>6.5522315609642181</v>
      </c>
      <c r="J1742" s="6">
        <f>VLOOKUP($D1742,Sheet1!$A$5:$C$192,3,TRUE)</f>
        <v>10</v>
      </c>
      <c r="K1742" s="42" t="str">
        <f>VLOOKUP($D1742,Sheet1!$A$5:$C$192,2,TRUE)</f>
        <v>/|\</v>
      </c>
      <c r="L1742" s="6">
        <f>FLOOR(VLOOKUP($D1742,Sheet1!$D$5:$F$192,3,TRUE),1)</f>
        <v>23</v>
      </c>
      <c r="M1742" s="42" t="str">
        <f>VLOOKUP($D1742,Sheet1!$D$5:$F$192,2,TRUE)</f>
        <v>)/|\</v>
      </c>
      <c r="N1742" s="23">
        <f>FLOOR(VLOOKUP($D1742,Sheet1!$G$5:$I$192,3,TRUE),1)</f>
        <v>29</v>
      </c>
      <c r="O1742" s="42" t="str">
        <f>VLOOKUP($D1742,Sheet1!$G$5:$I$192,2,TRUE)</f>
        <v>)/|\</v>
      </c>
      <c r="P1742" s="23">
        <v>1</v>
      </c>
      <c r="Q1742" s="43" t="str">
        <f>VLOOKUP($D1742,Sheet1!$J$5:$L$192,2,TRUE)</f>
        <v>)/|\.</v>
      </c>
      <c r="R1742" s="23">
        <f>FLOOR(VLOOKUP($D1742,Sheet1!$M$5:$O$192,3,TRUE),1)</f>
        <v>115</v>
      </c>
      <c r="S1742" s="42" t="str">
        <f>VLOOKUP($D1742,Sheet1!$M$5:$O$192,2,TRUE)</f>
        <v>)/|\.</v>
      </c>
      <c r="T1742" s="117">
        <f>IF(ABS(D1742-VLOOKUP($D1742,Sheet1!$M$5:$T$192,8,TRUE))&lt;10^-10,"SoCA",D1742-VLOOKUP($D1742,Sheet1!$M$5:$T$192,8,TRUE))</f>
        <v>-6.4963096841125889E-2</v>
      </c>
      <c r="U1742" s="109">
        <f>IF(VLOOKUP($D1742,Sheet1!$M$5:$U$192,9,TRUE)=0,"",IF(ABS(D1742-VLOOKUP($D1742,Sheet1!$M$5:$U$192,9,TRUE))&lt;10^-10,"Alt.",D1742-VLOOKUP($D1742,Sheet1!$M$5:$U$192,9,TRUE)))</f>
        <v>-9.1923392043561591E-2</v>
      </c>
      <c r="V1742" s="132">
        <f>$D1742-Sheet1!$M$3*$R1742</f>
        <v>-0.11640018211569014</v>
      </c>
    </row>
    <row r="1743" spans="1:22" ht="13.5">
      <c r="A1743" t="s">
        <v>1177</v>
      </c>
      <c r="B1743">
        <v>213</v>
      </c>
      <c r="C1743">
        <v>220</v>
      </c>
      <c r="D1743" s="13">
        <f t="shared" si="36"/>
        <v>55.980111958585681</v>
      </c>
      <c r="E1743" s="61" t="s">
        <v>1931</v>
      </c>
      <c r="F1743" s="65">
        <v>104.69519824809829</v>
      </c>
      <c r="G1743" s="6">
        <v>1080</v>
      </c>
      <c r="H1743" s="6">
        <v>1026</v>
      </c>
      <c r="I1743" s="65">
        <v>-4.446899439941733</v>
      </c>
      <c r="J1743" s="6">
        <f>VLOOKUP($D1743,Sheet1!$A$5:$C$192,3,TRUE)</f>
        <v>10</v>
      </c>
      <c r="K1743" s="42" t="str">
        <f>VLOOKUP($D1743,Sheet1!$A$5:$C$192,2,TRUE)</f>
        <v>/|\</v>
      </c>
      <c r="L1743" s="6">
        <f>FLOOR(VLOOKUP($D1743,Sheet1!$D$5:$F$192,3,TRUE),1)</f>
        <v>23</v>
      </c>
      <c r="M1743" s="42" t="str">
        <f>VLOOKUP($D1743,Sheet1!$D$5:$F$192,2,TRUE)</f>
        <v>)/|\</v>
      </c>
      <c r="N1743" s="23">
        <f>FLOOR(VLOOKUP($D1743,Sheet1!$G$5:$I$192,3,TRUE),1)</f>
        <v>29</v>
      </c>
      <c r="O1743" s="42" t="str">
        <f>VLOOKUP($D1743,Sheet1!$G$5:$I$192,2,TRUE)</f>
        <v>)/|\</v>
      </c>
      <c r="P1743" s="23">
        <v>1</v>
      </c>
      <c r="Q1743" s="43" t="str">
        <f>VLOOKUP($D1743,Sheet1!$J$5:$L$192,2,TRUE)</f>
        <v>)/|\.</v>
      </c>
      <c r="R1743" s="23">
        <f>FLOOR(VLOOKUP($D1743,Sheet1!$M$5:$O$192,3,TRUE),1)</f>
        <v>115</v>
      </c>
      <c r="S1743" s="42" t="str">
        <f>VLOOKUP($D1743,Sheet1!$M$5:$O$192,2,TRUE)</f>
        <v>)/|\.</v>
      </c>
      <c r="T1743" s="117">
        <f>IF(ABS(D1743-VLOOKUP($D1743,Sheet1!$M$5:$T$192,8,TRUE))&lt;10^-10,"SoCA",D1743-VLOOKUP($D1743,Sheet1!$M$5:$T$192,8,TRUE))</f>
        <v>-7.9076263594139107E-2</v>
      </c>
      <c r="U1743" s="109">
        <f>IF(VLOOKUP($D1743,Sheet1!$M$5:$U$192,9,TRUE)=0,"",IF(ABS(D1743-VLOOKUP($D1743,Sheet1!$M$5:$U$192,9,TRUE))&lt;10^-10,"Alt.",D1743-VLOOKUP($D1743,Sheet1!$M$5:$U$192,9,TRUE)))</f>
        <v>-0.10603655879657481</v>
      </c>
      <c r="V1743" s="132">
        <f>$D1743-Sheet1!$M$3*$R1743</f>
        <v>-0.13051334886870336</v>
      </c>
    </row>
    <row r="1744" spans="1:22" ht="13.5">
      <c r="A1744" t="s">
        <v>444</v>
      </c>
      <c r="B1744">
        <v>188416</v>
      </c>
      <c r="C1744">
        <v>194643</v>
      </c>
      <c r="D1744" s="13">
        <f t="shared" si="36"/>
        <v>56.290775948973675</v>
      </c>
      <c r="E1744" s="61" t="s">
        <v>1931</v>
      </c>
      <c r="F1744" s="65">
        <v>113.82603175348302</v>
      </c>
      <c r="G1744" s="6">
        <v>311</v>
      </c>
      <c r="H1744" s="6">
        <v>282</v>
      </c>
      <c r="I1744" s="65">
        <v>3.5339718463595404</v>
      </c>
      <c r="J1744" s="6">
        <f>VLOOKUP($D1744,Sheet1!$A$5:$C$192,3,TRUE)</f>
        <v>10</v>
      </c>
      <c r="K1744" s="42" t="str">
        <f>VLOOKUP($D1744,Sheet1!$A$5:$C$192,2,TRUE)</f>
        <v>/|\</v>
      </c>
      <c r="L1744" s="6">
        <f>FLOOR(VLOOKUP($D1744,Sheet1!$D$5:$F$192,3,TRUE),1)</f>
        <v>23</v>
      </c>
      <c r="M1744" s="42" t="str">
        <f>VLOOKUP($D1744,Sheet1!$D$5:$F$192,2,TRUE)</f>
        <v>)/|\</v>
      </c>
      <c r="N1744" s="23">
        <f>FLOOR(VLOOKUP($D1744,Sheet1!$G$5:$I$192,3,TRUE),1)</f>
        <v>29</v>
      </c>
      <c r="O1744" s="42" t="str">
        <f>VLOOKUP($D1744,Sheet1!$G$5:$I$192,2,TRUE)</f>
        <v>)/|\</v>
      </c>
      <c r="P1744" s="23">
        <v>1</v>
      </c>
      <c r="Q1744" s="43" t="str">
        <f>VLOOKUP($D1744,Sheet1!$J$5:$L$192,2,TRUE)</f>
        <v>)/|\.</v>
      </c>
      <c r="R1744" s="23">
        <f>FLOOR(VLOOKUP($D1744,Sheet1!$M$5:$O$192,3,TRUE),1)</f>
        <v>115</v>
      </c>
      <c r="S1744" s="42" t="str">
        <f>VLOOKUP($D1744,Sheet1!$M$5:$O$192,2,TRUE)</f>
        <v>)/|\.</v>
      </c>
      <c r="T1744" s="117">
        <f>IF(ABS(D1744-VLOOKUP($D1744,Sheet1!$M$5:$T$192,8,TRUE))&lt;10^-10,"SoCA",D1744-VLOOKUP($D1744,Sheet1!$M$5:$T$192,8,TRUE))</f>
        <v>0.23158772679385464</v>
      </c>
      <c r="U1744" s="109">
        <f>IF(VLOOKUP($D1744,Sheet1!$M$5:$U$192,9,TRUE)=0,"",IF(ABS(D1744-VLOOKUP($D1744,Sheet1!$M$5:$U$192,9,TRUE))&lt;10^-10,"Alt.",D1744-VLOOKUP($D1744,Sheet1!$M$5:$U$192,9,TRUE)))</f>
        <v>0.20462743159141894</v>
      </c>
      <c r="V1744" s="132">
        <f>$D1744-Sheet1!$M$3*$R1744</f>
        <v>0.18015064151929039</v>
      </c>
    </row>
    <row r="1745" spans="1:22" ht="13.5">
      <c r="A1745" t="s">
        <v>1163</v>
      </c>
      <c r="B1745">
        <v>16605</v>
      </c>
      <c r="C1745">
        <v>17152</v>
      </c>
      <c r="D1745" s="13">
        <f t="shared" si="36"/>
        <v>56.110905681241832</v>
      </c>
      <c r="E1745" s="61" t="s">
        <v>1931</v>
      </c>
      <c r="F1745" s="65">
        <v>138.10923045532584</v>
      </c>
      <c r="G1745" s="6">
        <v>933</v>
      </c>
      <c r="H1745" s="6">
        <v>1012</v>
      </c>
      <c r="I1745" s="65">
        <v>-7.4549528859531469</v>
      </c>
      <c r="J1745" s="6">
        <f>VLOOKUP($D1745,Sheet1!$A$5:$C$192,3,TRUE)</f>
        <v>10</v>
      </c>
      <c r="K1745" s="42" t="str">
        <f>VLOOKUP($D1745,Sheet1!$A$5:$C$192,2,TRUE)</f>
        <v>/|\</v>
      </c>
      <c r="L1745" s="6">
        <f>FLOOR(VLOOKUP($D1745,Sheet1!$D$5:$F$192,3,TRUE),1)</f>
        <v>23</v>
      </c>
      <c r="M1745" s="42" t="str">
        <f>VLOOKUP($D1745,Sheet1!$D$5:$F$192,2,TRUE)</f>
        <v>)/|\</v>
      </c>
      <c r="N1745" s="23">
        <f>FLOOR(VLOOKUP($D1745,Sheet1!$G$5:$I$192,3,TRUE),1)</f>
        <v>29</v>
      </c>
      <c r="O1745" s="42" t="str">
        <f>VLOOKUP($D1745,Sheet1!$G$5:$I$192,2,TRUE)</f>
        <v>)/|\</v>
      </c>
      <c r="P1745" s="23">
        <v>1</v>
      </c>
      <c r="Q1745" s="43" t="str">
        <f>VLOOKUP($D1745,Sheet1!$J$5:$L$192,2,TRUE)</f>
        <v>)/|\.</v>
      </c>
      <c r="R1745" s="23">
        <f>FLOOR(VLOOKUP($D1745,Sheet1!$M$5:$O$192,3,TRUE),1)</f>
        <v>115</v>
      </c>
      <c r="S1745" s="42" t="str">
        <f>VLOOKUP($D1745,Sheet1!$M$5:$O$192,2,TRUE)</f>
        <v>)/|\.</v>
      </c>
      <c r="T1745" s="117">
        <f>IF(ABS(D1745-VLOOKUP($D1745,Sheet1!$M$5:$T$192,8,TRUE))&lt;10^-10,"SoCA",D1745-VLOOKUP($D1745,Sheet1!$M$5:$T$192,8,TRUE))</f>
        <v>5.1717459062011528E-2</v>
      </c>
      <c r="U1745" s="109">
        <f>IF(VLOOKUP($D1745,Sheet1!$M$5:$U$192,9,TRUE)=0,"",IF(ABS(D1745-VLOOKUP($D1745,Sheet1!$M$5:$U$192,9,TRUE))&lt;10^-10,"Alt.",D1745-VLOOKUP($D1745,Sheet1!$M$5:$U$192,9,TRUE)))</f>
        <v>2.4757163859575826E-2</v>
      </c>
      <c r="V1745" s="132">
        <f>$D1745-Sheet1!$M$3*$R1745</f>
        <v>2.8037378744727448E-4</v>
      </c>
    </row>
    <row r="1746" spans="1:22" ht="13.5">
      <c r="A1746" t="s">
        <v>866</v>
      </c>
      <c r="B1746">
        <v>880</v>
      </c>
      <c r="C1746">
        <v>909</v>
      </c>
      <c r="D1746" s="13">
        <f t="shared" si="36"/>
        <v>56.132124803337007</v>
      </c>
      <c r="E1746" s="61" t="s">
        <v>1931</v>
      </c>
      <c r="F1746" s="65">
        <v>140.48902423948024</v>
      </c>
      <c r="G1746" s="6">
        <v>777</v>
      </c>
      <c r="H1746" s="6">
        <v>713</v>
      </c>
      <c r="I1746" s="65">
        <v>-1.4562594246060176</v>
      </c>
      <c r="J1746" s="6">
        <f>VLOOKUP($D1746,Sheet1!$A$5:$C$192,3,TRUE)</f>
        <v>10</v>
      </c>
      <c r="K1746" s="42" t="str">
        <f>VLOOKUP($D1746,Sheet1!$A$5:$C$192,2,TRUE)</f>
        <v>/|\</v>
      </c>
      <c r="L1746" s="6">
        <f>FLOOR(VLOOKUP($D1746,Sheet1!$D$5:$F$192,3,TRUE),1)</f>
        <v>23</v>
      </c>
      <c r="M1746" s="42" t="str">
        <f>VLOOKUP($D1746,Sheet1!$D$5:$F$192,2,TRUE)</f>
        <v>)/|\</v>
      </c>
      <c r="N1746" s="23">
        <f>FLOOR(VLOOKUP($D1746,Sheet1!$G$5:$I$192,3,TRUE),1)</f>
        <v>29</v>
      </c>
      <c r="O1746" s="42" t="str">
        <f>VLOOKUP($D1746,Sheet1!$G$5:$I$192,2,TRUE)</f>
        <v>)/|\</v>
      </c>
      <c r="P1746" s="23">
        <v>1</v>
      </c>
      <c r="Q1746" s="43" t="str">
        <f>VLOOKUP($D1746,Sheet1!$J$5:$L$192,2,TRUE)</f>
        <v>)/|\.</v>
      </c>
      <c r="R1746" s="23">
        <f>FLOOR(VLOOKUP($D1746,Sheet1!$M$5:$O$192,3,TRUE),1)</f>
        <v>115</v>
      </c>
      <c r="S1746" s="42" t="str">
        <f>VLOOKUP($D1746,Sheet1!$M$5:$O$192,2,TRUE)</f>
        <v>)/|\.</v>
      </c>
      <c r="T1746" s="117">
        <f>IF(ABS(D1746-VLOOKUP($D1746,Sheet1!$M$5:$T$192,8,TRUE))&lt;10^-10,"SoCA",D1746-VLOOKUP($D1746,Sheet1!$M$5:$T$192,8,TRUE))</f>
        <v>7.2936581157186708E-2</v>
      </c>
      <c r="U1746" s="109">
        <f>IF(VLOOKUP($D1746,Sheet1!$M$5:$U$192,9,TRUE)=0,"",IF(ABS(D1746-VLOOKUP($D1746,Sheet1!$M$5:$U$192,9,TRUE))&lt;10^-10,"Alt.",D1746-VLOOKUP($D1746,Sheet1!$M$5:$U$192,9,TRUE)))</f>
        <v>4.5976285954751006E-2</v>
      </c>
      <c r="V1746" s="132">
        <f>$D1746-Sheet1!$M$3*$R1746</f>
        <v>2.1499495882622455E-2</v>
      </c>
    </row>
    <row r="1747" spans="1:22" ht="13.5">
      <c r="A1747" t="s">
        <v>1178</v>
      </c>
      <c r="B1747">
        <v>1875</v>
      </c>
      <c r="C1747">
        <v>1937</v>
      </c>
      <c r="D1747" s="13">
        <f t="shared" si="36"/>
        <v>56.320029999177642</v>
      </c>
      <c r="E1747" s="61" t="s">
        <v>1931</v>
      </c>
      <c r="F1747" s="65">
        <v>255.14755467133878</v>
      </c>
      <c r="G1747" s="6">
        <v>1081</v>
      </c>
      <c r="H1747" s="6">
        <v>1027</v>
      </c>
      <c r="I1747" s="65">
        <v>-4.4678294320898253</v>
      </c>
      <c r="J1747" s="6">
        <f>VLOOKUP($D1747,Sheet1!$A$5:$C$192,3,TRUE)</f>
        <v>10</v>
      </c>
      <c r="K1747" s="42" t="str">
        <f>VLOOKUP($D1747,Sheet1!$A$5:$C$192,2,TRUE)</f>
        <v>/|\</v>
      </c>
      <c r="L1747" s="6">
        <f>FLOOR(VLOOKUP($D1747,Sheet1!$D$5:$F$192,3,TRUE),1)</f>
        <v>23</v>
      </c>
      <c r="M1747" s="42" t="str">
        <f>VLOOKUP($D1747,Sheet1!$D$5:$F$192,2,TRUE)</f>
        <v>)/|\</v>
      </c>
      <c r="N1747" s="23">
        <f>FLOOR(VLOOKUP($D1747,Sheet1!$G$5:$I$192,3,TRUE),1)</f>
        <v>29</v>
      </c>
      <c r="O1747" s="42" t="str">
        <f>VLOOKUP($D1747,Sheet1!$G$5:$I$192,2,TRUE)</f>
        <v>)/|\</v>
      </c>
      <c r="P1747" s="23">
        <v>1</v>
      </c>
      <c r="Q1747" s="43" t="str">
        <f>VLOOKUP($D1747,Sheet1!$J$5:$L$192,2,TRUE)</f>
        <v>)/|\.</v>
      </c>
      <c r="R1747" s="23">
        <f>FLOOR(VLOOKUP($D1747,Sheet1!$M$5:$O$192,3,TRUE),1)</f>
        <v>115</v>
      </c>
      <c r="S1747" s="42" t="str">
        <f>VLOOKUP($D1747,Sheet1!$M$5:$O$192,2,TRUE)</f>
        <v>)/|\.</v>
      </c>
      <c r="T1747" s="117">
        <f>IF(ABS(D1747-VLOOKUP($D1747,Sheet1!$M$5:$T$192,8,TRUE))&lt;10^-10,"SoCA",D1747-VLOOKUP($D1747,Sheet1!$M$5:$T$192,8,TRUE))</f>
        <v>0.26084177699782174</v>
      </c>
      <c r="U1747" s="109">
        <f>IF(VLOOKUP($D1747,Sheet1!$M$5:$U$192,9,TRUE)=0,"",IF(ABS(D1747-VLOOKUP($D1747,Sheet1!$M$5:$U$192,9,TRUE))&lt;10^-10,"Alt.",D1747-VLOOKUP($D1747,Sheet1!$M$5:$U$192,9,TRUE)))</f>
        <v>0.23388148179538604</v>
      </c>
      <c r="V1747" s="132">
        <f>$D1747-Sheet1!$M$3*$R1747</f>
        <v>0.20940469172325749</v>
      </c>
    </row>
    <row r="1748" spans="1:22" ht="13.5">
      <c r="A1748" t="s">
        <v>1469</v>
      </c>
      <c r="B1748">
        <v>70368744177664</v>
      </c>
      <c r="C1748">
        <v>72690264905931</v>
      </c>
      <c r="D1748" s="13">
        <f t="shared" si="36"/>
        <v>56.192876022112628</v>
      </c>
      <c r="E1748" s="61">
        <v>17</v>
      </c>
      <c r="F1748" s="65">
        <v>315.19439724409568</v>
      </c>
      <c r="G1748" s="6">
        <v>1381</v>
      </c>
      <c r="H1748" s="6">
        <v>1318</v>
      </c>
      <c r="I1748" s="65">
        <v>7.5399999015252277</v>
      </c>
      <c r="J1748" s="6">
        <f>VLOOKUP($D1748,Sheet1!$A$5:$C$192,3,TRUE)</f>
        <v>10</v>
      </c>
      <c r="K1748" s="42" t="str">
        <f>VLOOKUP($D1748,Sheet1!$A$5:$C$192,2,TRUE)</f>
        <v>/|\</v>
      </c>
      <c r="L1748" s="6">
        <f>FLOOR(VLOOKUP($D1748,Sheet1!$D$5:$F$192,3,TRUE),1)</f>
        <v>23</v>
      </c>
      <c r="M1748" s="42" t="str">
        <f>VLOOKUP($D1748,Sheet1!$D$5:$F$192,2,TRUE)</f>
        <v>)/|\</v>
      </c>
      <c r="N1748" s="23">
        <f>FLOOR(VLOOKUP($D1748,Sheet1!$G$5:$I$192,3,TRUE),1)</f>
        <v>29</v>
      </c>
      <c r="O1748" s="42" t="str">
        <f>VLOOKUP($D1748,Sheet1!$G$5:$I$192,2,TRUE)</f>
        <v>)/|\</v>
      </c>
      <c r="P1748" s="23">
        <v>1</v>
      </c>
      <c r="Q1748" s="43" t="str">
        <f>VLOOKUP($D1748,Sheet1!$J$5:$L$192,2,TRUE)</f>
        <v>)/|\.</v>
      </c>
      <c r="R1748" s="23">
        <f>FLOOR(VLOOKUP($D1748,Sheet1!$M$5:$O$192,3,TRUE),1)</f>
        <v>115</v>
      </c>
      <c r="S1748" s="42" t="str">
        <f>VLOOKUP($D1748,Sheet1!$M$5:$O$192,2,TRUE)</f>
        <v>)/|\.</v>
      </c>
      <c r="T1748" s="117">
        <f>IF(ABS(D1748-VLOOKUP($D1748,Sheet1!$M$5:$T$192,8,TRUE))&lt;10^-10,"SoCA",D1748-VLOOKUP($D1748,Sheet1!$M$5:$T$192,8,TRUE))</f>
        <v>0.1336877999328081</v>
      </c>
      <c r="U1748" s="109">
        <f>IF(VLOOKUP($D1748,Sheet1!$M$5:$U$192,9,TRUE)=0,"",IF(ABS(D1748-VLOOKUP($D1748,Sheet1!$M$5:$U$192,9,TRUE))&lt;10^-10,"Alt.",D1748-VLOOKUP($D1748,Sheet1!$M$5:$U$192,9,TRUE)))</f>
        <v>0.1067275047303724</v>
      </c>
      <c r="V1748" s="132">
        <f>$D1748-Sheet1!$M$3*$R1748</f>
        <v>8.2250714658243851E-2</v>
      </c>
    </row>
    <row r="1749" spans="1:22" ht="13.5">
      <c r="A1749" t="s">
        <v>770</v>
      </c>
      <c r="B1749">
        <v>16336</v>
      </c>
      <c r="C1749">
        <v>16875</v>
      </c>
      <c r="D1749" s="13">
        <f t="shared" si="36"/>
        <v>56.199277002139802</v>
      </c>
      <c r="E1749" s="61" t="s">
        <v>1931</v>
      </c>
      <c r="F1749" s="65">
        <v>1665.7799843153161</v>
      </c>
      <c r="G1749" s="6">
        <v>723</v>
      </c>
      <c r="H1749" s="6">
        <v>616</v>
      </c>
      <c r="I1749" s="65">
        <v>-0.46039423013508562</v>
      </c>
      <c r="J1749" s="6">
        <f>VLOOKUP($D1749,Sheet1!$A$5:$C$192,3,TRUE)</f>
        <v>10</v>
      </c>
      <c r="K1749" s="42" t="str">
        <f>VLOOKUP($D1749,Sheet1!$A$5:$C$192,2,TRUE)</f>
        <v>/|\</v>
      </c>
      <c r="L1749" s="6">
        <f>FLOOR(VLOOKUP($D1749,Sheet1!$D$5:$F$192,3,TRUE),1)</f>
        <v>23</v>
      </c>
      <c r="M1749" s="42" t="str">
        <f>VLOOKUP($D1749,Sheet1!$D$5:$F$192,2,TRUE)</f>
        <v>)/|\</v>
      </c>
      <c r="N1749" s="23">
        <f>FLOOR(VLOOKUP($D1749,Sheet1!$G$5:$I$192,3,TRUE),1)</f>
        <v>29</v>
      </c>
      <c r="O1749" s="42" t="str">
        <f>VLOOKUP($D1749,Sheet1!$G$5:$I$192,2,TRUE)</f>
        <v>)/|\</v>
      </c>
      <c r="P1749" s="23">
        <v>1</v>
      </c>
      <c r="Q1749" s="43" t="str">
        <f>VLOOKUP($D1749,Sheet1!$J$5:$L$192,2,TRUE)</f>
        <v>)/|\.</v>
      </c>
      <c r="R1749" s="23">
        <f>FLOOR(VLOOKUP($D1749,Sheet1!$M$5:$O$192,3,TRUE),1)</f>
        <v>115</v>
      </c>
      <c r="S1749" s="42" t="str">
        <f>VLOOKUP($D1749,Sheet1!$M$5:$O$192,2,TRUE)</f>
        <v>)/|\.</v>
      </c>
      <c r="T1749" s="117">
        <f>IF(ABS(D1749-VLOOKUP($D1749,Sheet1!$M$5:$T$192,8,TRUE))&lt;10^-10,"SoCA",D1749-VLOOKUP($D1749,Sheet1!$M$5:$T$192,8,TRUE))</f>
        <v>0.14008877995998148</v>
      </c>
      <c r="U1749" s="109">
        <f>IF(VLOOKUP($D1749,Sheet1!$M$5:$U$192,9,TRUE)=0,"",IF(ABS(D1749-VLOOKUP($D1749,Sheet1!$M$5:$U$192,9,TRUE))&lt;10^-10,"Alt.",D1749-VLOOKUP($D1749,Sheet1!$M$5:$U$192,9,TRUE)))</f>
        <v>0.11312848475754578</v>
      </c>
      <c r="V1749" s="132">
        <f>$D1749-Sheet1!$M$3*$R1749</f>
        <v>8.8651694685417226E-2</v>
      </c>
    </row>
    <row r="1750" spans="1:22" ht="13.5">
      <c r="A1750" s="33" t="s">
        <v>220</v>
      </c>
      <c r="B1750" s="35">
        <f>2^3*7^2</f>
        <v>392</v>
      </c>
      <c r="C1750" s="33">
        <f>3^4*5</f>
        <v>405</v>
      </c>
      <c r="D1750" s="51">
        <f t="shared" si="36"/>
        <v>56.481904388134645</v>
      </c>
      <c r="E1750" s="61">
        <v>7</v>
      </c>
      <c r="F1750" s="65">
        <v>22.946627265849855</v>
      </c>
      <c r="G1750" s="6">
        <v>19</v>
      </c>
      <c r="H1750" s="6">
        <v>18</v>
      </c>
      <c r="I1750" s="65">
        <v>0.52220337204158529</v>
      </c>
      <c r="J1750" s="6">
        <f>VLOOKUP($D1750,Sheet1!$A$5:$C$192,3,TRUE)</f>
        <v>10</v>
      </c>
      <c r="K1750" s="42" t="str">
        <f>VLOOKUP($D1750,Sheet1!$A$5:$C$192,2,TRUE)</f>
        <v>/|\</v>
      </c>
      <c r="L1750" s="34">
        <f>FLOOR(VLOOKUP($D1750,Sheet1!$D$5:$F$192,3,TRUE),1)</f>
        <v>23</v>
      </c>
      <c r="M1750" s="41" t="str">
        <f>VLOOKUP($D1750,Sheet1!$D$5:$F$192,2,TRUE)</f>
        <v>)/|\</v>
      </c>
      <c r="N1750" s="34">
        <f>FLOOR(VLOOKUP($D1750,Sheet1!$G$5:$I$192,3,TRUE),1)</f>
        <v>29</v>
      </c>
      <c r="O1750" s="41" t="str">
        <f>VLOOKUP($D1750,Sheet1!$G$5:$I$192,2,TRUE)</f>
        <v>)/|\</v>
      </c>
      <c r="P1750" s="34">
        <v>1</v>
      </c>
      <c r="Q1750" s="41" t="str">
        <f>VLOOKUP($D1750,Sheet1!$J$5:$L$192,2,TRUE)</f>
        <v>)/|\</v>
      </c>
      <c r="R1750" s="34">
        <f>FLOOR(VLOOKUP($D1750,Sheet1!$M$5:$O$192,3,TRUE),1)</f>
        <v>116</v>
      </c>
      <c r="S1750" s="41" t="str">
        <f>VLOOKUP($D1750,Sheet1!$M$5:$O$192,2,TRUE)</f>
        <v>)/|\</v>
      </c>
      <c r="T1750" s="114" t="str">
        <f>IF(ABS(D1750-VLOOKUP($D1750,Sheet1!$M$5:$T$192,8,TRUE))&lt;10^-10,"SoCA",D1750-VLOOKUP($D1750,Sheet1!$M$5:$T$192,8,TRUE))</f>
        <v>SoCA</v>
      </c>
      <c r="U1750" s="126" t="str">
        <f>IF(VLOOKUP($D1750,Sheet1!$M$5:$U$192,9,TRUE)=0,"",IF(ABS(D1750-VLOOKUP($D1750,Sheet1!$M$5:$U$192,9,TRUE))&lt;10^-10,"Alt.",D1750-VLOOKUP($D1750,Sheet1!$M$5:$U$192,9,TRUE)))</f>
        <v/>
      </c>
      <c r="V1750" s="137">
        <f>$D1750-Sheet1!$M$3*$R1750</f>
        <v>-0.11663940025412245</v>
      </c>
    </row>
    <row r="1751" spans="1:22" ht="13.5">
      <c r="A1751" s="23" t="s">
        <v>296</v>
      </c>
      <c r="B1751" s="23">
        <f>3^4*13</f>
        <v>1053</v>
      </c>
      <c r="C1751" s="23">
        <f>2^6*17</f>
        <v>1088</v>
      </c>
      <c r="D1751" s="13">
        <f t="shared" si="36"/>
        <v>56.607744269547169</v>
      </c>
      <c r="E1751" s="61">
        <v>17</v>
      </c>
      <c r="F1751" s="65">
        <v>31.868757663371692</v>
      </c>
      <c r="G1751" s="6">
        <v>117</v>
      </c>
      <c r="H1751" s="6">
        <v>122</v>
      </c>
      <c r="I1751" s="65">
        <v>-7.4855450479166326</v>
      </c>
      <c r="J1751" s="6">
        <f>VLOOKUP($D1751,Sheet1!$A$5:$C$192,3,TRUE)</f>
        <v>10</v>
      </c>
      <c r="K1751" s="42" t="str">
        <f>VLOOKUP($D1751,Sheet1!$A$5:$C$192,2,TRUE)</f>
        <v>/|\</v>
      </c>
      <c r="L1751" s="23">
        <f>FLOOR(VLOOKUP($D1751,Sheet1!$D$5:$F$192,3,TRUE),1)</f>
        <v>23</v>
      </c>
      <c r="M1751" s="43" t="str">
        <f>VLOOKUP($D1751,Sheet1!$D$5:$F$192,2,TRUE)</f>
        <v>)/|\</v>
      </c>
      <c r="N1751" s="23">
        <f>FLOOR(VLOOKUP($D1751,Sheet1!$G$5:$I$192,3,TRUE),1)</f>
        <v>29</v>
      </c>
      <c r="O1751" s="43" t="str">
        <f>VLOOKUP($D1751,Sheet1!$G$5:$I$192,2,TRUE)</f>
        <v>)/|\</v>
      </c>
      <c r="P1751" s="23">
        <v>1</v>
      </c>
      <c r="Q1751" s="43" t="str">
        <f>VLOOKUP($D1751,Sheet1!$J$5:$L$192,2,TRUE)</f>
        <v>)/|\</v>
      </c>
      <c r="R1751" s="23">
        <f>FLOOR(VLOOKUP($D1751,Sheet1!$M$5:$O$192,3,TRUE),1)</f>
        <v>116</v>
      </c>
      <c r="S1751" s="43" t="str">
        <f>VLOOKUP($D1751,Sheet1!$M$5:$O$192,2,TRUE)</f>
        <v>)/|\</v>
      </c>
      <c r="T1751" s="117">
        <f>IF(ABS(D1751-VLOOKUP($D1751,Sheet1!$M$5:$T$192,8,TRUE))&lt;10^-10,"SoCA",D1751-VLOOKUP($D1751,Sheet1!$M$5:$T$192,8,TRUE))</f>
        <v>0.12583988141252433</v>
      </c>
      <c r="U1751" s="117" t="str">
        <f>IF(VLOOKUP($D1751,Sheet1!$M$5:$U$192,9,TRUE)=0,"",IF(ABS(D1751-VLOOKUP($D1751,Sheet1!$M$5:$U$192,9,TRUE))&lt;10^-10,"Alt.",D1751-VLOOKUP($D1751,Sheet1!$M$5:$U$192,9,TRUE)))</f>
        <v/>
      </c>
      <c r="V1751" s="132">
        <f>$D1751-Sheet1!$M$3*$R1751</f>
        <v>9.2004811584018853E-3</v>
      </c>
    </row>
    <row r="1752" spans="1:22" ht="13.5">
      <c r="A1752" s="23" t="s">
        <v>286</v>
      </c>
      <c r="B1752" s="23">
        <f>2*3*5</f>
        <v>30</v>
      </c>
      <c r="C1752" s="23">
        <f>31</f>
        <v>31</v>
      </c>
      <c r="D1752" s="13">
        <f t="shared" si="36"/>
        <v>56.766857734028193</v>
      </c>
      <c r="E1752" s="61">
        <v>31</v>
      </c>
      <c r="F1752" s="65">
        <v>36.24671133383363</v>
      </c>
      <c r="G1752" s="6">
        <v>118</v>
      </c>
      <c r="H1752" s="6">
        <v>110</v>
      </c>
      <c r="I1752" s="65">
        <v>-4.4953422436066406</v>
      </c>
      <c r="J1752" s="6">
        <f>VLOOKUP($D1752,Sheet1!$A$5:$C$192,3,TRUE)</f>
        <v>10</v>
      </c>
      <c r="K1752" s="42" t="str">
        <f>VLOOKUP($D1752,Sheet1!$A$5:$C$192,2,TRUE)</f>
        <v>/|\</v>
      </c>
      <c r="L1752" s="6">
        <f>FLOOR(VLOOKUP($D1752,Sheet1!$D$5:$F$192,3,TRUE),1)</f>
        <v>23</v>
      </c>
      <c r="M1752" s="42" t="str">
        <f>VLOOKUP($D1752,Sheet1!$D$5:$F$192,2,TRUE)</f>
        <v>)/|\</v>
      </c>
      <c r="N1752" s="23">
        <f>FLOOR(VLOOKUP($D1752,Sheet1!$G$5:$I$192,3,TRUE),1)</f>
        <v>29</v>
      </c>
      <c r="O1752" s="42" t="str">
        <f>VLOOKUP($D1752,Sheet1!$G$5:$I$192,2,TRUE)</f>
        <v>)/|\</v>
      </c>
      <c r="P1752" s="23">
        <v>1</v>
      </c>
      <c r="Q1752" s="43" t="str">
        <f>VLOOKUP($D1752,Sheet1!$J$5:$L$192,2,TRUE)</f>
        <v>)/|\</v>
      </c>
      <c r="R1752" s="23">
        <f>FLOOR(VLOOKUP($D1752,Sheet1!$M$5:$O$192,3,TRUE),1)</f>
        <v>116</v>
      </c>
      <c r="S1752" s="42" t="str">
        <f>VLOOKUP($D1752,Sheet1!$M$5:$O$192,2,TRUE)</f>
        <v>)/|\</v>
      </c>
      <c r="T1752" s="117">
        <f>IF(ABS(D1752-VLOOKUP($D1752,Sheet1!$M$5:$T$192,8,TRUE))&lt;10^-10,"SoCA",D1752-VLOOKUP($D1752,Sheet1!$M$5:$T$192,8,TRUE))</f>
        <v>0.28495334589354826</v>
      </c>
      <c r="U1752" s="109" t="str">
        <f>IF(VLOOKUP($D1752,Sheet1!$M$5:$U$192,9,TRUE)=0,"",IF(ABS(D1752-VLOOKUP($D1752,Sheet1!$M$5:$U$192,9,TRUE))&lt;10^-10,"Alt.",D1752-VLOOKUP($D1752,Sheet1!$M$5:$U$192,9,TRUE)))</f>
        <v/>
      </c>
      <c r="V1752" s="132">
        <f>$D1752-Sheet1!$M$3*$R1752</f>
        <v>0.16831394563942581</v>
      </c>
    </row>
    <row r="1753" spans="1:22" ht="13.5">
      <c r="A1753" t="s">
        <v>776</v>
      </c>
      <c r="B1753">
        <v>16384</v>
      </c>
      <c r="C1753">
        <v>16929</v>
      </c>
      <c r="D1753" s="13">
        <f t="shared" si="36"/>
        <v>56.650961958608967</v>
      </c>
      <c r="E1753" s="61">
        <v>19</v>
      </c>
      <c r="F1753" s="65">
        <v>42.166814491379114</v>
      </c>
      <c r="G1753" s="6">
        <v>728</v>
      </c>
      <c r="H1753" s="6">
        <v>622</v>
      </c>
      <c r="I1753" s="65">
        <v>0.51179388151721872</v>
      </c>
      <c r="J1753" s="6">
        <f>VLOOKUP($D1753,Sheet1!$A$5:$C$192,3,TRUE)</f>
        <v>10</v>
      </c>
      <c r="K1753" s="42" t="str">
        <f>VLOOKUP($D1753,Sheet1!$A$5:$C$192,2,TRUE)</f>
        <v>/|\</v>
      </c>
      <c r="L1753" s="6">
        <f>FLOOR(VLOOKUP($D1753,Sheet1!$D$5:$F$192,3,TRUE),1)</f>
        <v>23</v>
      </c>
      <c r="M1753" s="42" t="str">
        <f>VLOOKUP($D1753,Sheet1!$D$5:$F$192,2,TRUE)</f>
        <v>)/|\</v>
      </c>
      <c r="N1753" s="23">
        <f>FLOOR(VLOOKUP($D1753,Sheet1!$G$5:$I$192,3,TRUE),1)</f>
        <v>29</v>
      </c>
      <c r="O1753" s="42" t="str">
        <f>VLOOKUP($D1753,Sheet1!$G$5:$I$192,2,TRUE)</f>
        <v>)/|\</v>
      </c>
      <c r="P1753" s="23">
        <v>1</v>
      </c>
      <c r="Q1753" s="43" t="str">
        <f>VLOOKUP($D1753,Sheet1!$J$5:$L$192,2,TRUE)</f>
        <v>)/|\</v>
      </c>
      <c r="R1753" s="23">
        <f>FLOOR(VLOOKUP($D1753,Sheet1!$M$5:$O$192,3,TRUE),1)</f>
        <v>116</v>
      </c>
      <c r="S1753" s="42" t="str">
        <f>VLOOKUP($D1753,Sheet1!$M$5:$O$192,2,TRUE)</f>
        <v>)/|\</v>
      </c>
      <c r="T1753" s="117">
        <f>IF(ABS(D1753-VLOOKUP($D1753,Sheet1!$M$5:$T$192,8,TRUE))&lt;10^-10,"SoCA",D1753-VLOOKUP($D1753,Sheet1!$M$5:$T$192,8,TRUE))</f>
        <v>0.16905757047432246</v>
      </c>
      <c r="U1753" s="109" t="str">
        <f>IF(VLOOKUP($D1753,Sheet1!$M$5:$U$192,9,TRUE)=0,"",IF(ABS(D1753-VLOOKUP($D1753,Sheet1!$M$5:$U$192,9,TRUE))&lt;10^-10,"Alt.",D1753-VLOOKUP($D1753,Sheet1!$M$5:$U$192,9,TRUE)))</f>
        <v/>
      </c>
      <c r="V1753" s="132">
        <f>$D1753-Sheet1!$M$3*$R1753</f>
        <v>5.2418170220200011E-2</v>
      </c>
    </row>
    <row r="1754" spans="1:22" ht="13.5">
      <c r="A1754" s="6" t="s">
        <v>1359</v>
      </c>
      <c r="B1754" s="6">
        <f>3^7*29</f>
        <v>63423</v>
      </c>
      <c r="C1754" s="6">
        <f>2^16</f>
        <v>65536</v>
      </c>
      <c r="D1754" s="13">
        <f t="shared" si="36"/>
        <v>56.737799789201361</v>
      </c>
      <c r="E1754" s="61">
        <v>29</v>
      </c>
      <c r="F1754" s="65">
        <v>49.688801855436864</v>
      </c>
      <c r="G1754" s="6">
        <v>183</v>
      </c>
      <c r="H1754" s="6">
        <v>1208</v>
      </c>
      <c r="I1754" s="65">
        <v>-10.493553040079796</v>
      </c>
      <c r="J1754" s="6">
        <f>VLOOKUP($D1754,Sheet1!$A$5:$C$192,3,TRUE)</f>
        <v>10</v>
      </c>
      <c r="K1754" s="42" t="str">
        <f>VLOOKUP($D1754,Sheet1!$A$5:$C$192,2,TRUE)</f>
        <v>/|\</v>
      </c>
      <c r="L1754" s="6">
        <f>FLOOR(VLOOKUP($D1754,Sheet1!$D$5:$F$192,3,TRUE),1)</f>
        <v>23</v>
      </c>
      <c r="M1754" s="42" t="str">
        <f>VLOOKUP($D1754,Sheet1!$D$5:$F$192,2,TRUE)</f>
        <v>)/|\</v>
      </c>
      <c r="N1754" s="23">
        <f>FLOOR(VLOOKUP($D1754,Sheet1!$G$5:$I$192,3,TRUE),1)</f>
        <v>29</v>
      </c>
      <c r="O1754" s="42" t="str">
        <f>VLOOKUP($D1754,Sheet1!$G$5:$I$192,2,TRUE)</f>
        <v>)/|\</v>
      </c>
      <c r="P1754" s="23">
        <v>1</v>
      </c>
      <c r="Q1754" s="43" t="str">
        <f>VLOOKUP($D1754,Sheet1!$J$5:$L$192,2,TRUE)</f>
        <v>)/|\</v>
      </c>
      <c r="R1754" s="23">
        <f>FLOOR(VLOOKUP($D1754,Sheet1!$M$5:$O$192,3,TRUE),1)</f>
        <v>116</v>
      </c>
      <c r="S1754" s="42" t="str">
        <f>VLOOKUP($D1754,Sheet1!$M$5:$O$192,2,TRUE)</f>
        <v>)/|\</v>
      </c>
      <c r="T1754" s="117">
        <f>IF(ABS(D1754-VLOOKUP($D1754,Sheet1!$M$5:$T$192,8,TRUE))&lt;10^-10,"SoCA",D1754-VLOOKUP($D1754,Sheet1!$M$5:$T$192,8,TRUE))</f>
        <v>0.25589540106671649</v>
      </c>
      <c r="U1754" s="109" t="str">
        <f>IF(VLOOKUP($D1754,Sheet1!$M$5:$U$192,9,TRUE)=0,"",IF(ABS(D1754-VLOOKUP($D1754,Sheet1!$M$5:$U$192,9,TRUE))&lt;10^-10,"Alt.",D1754-VLOOKUP($D1754,Sheet1!$M$5:$U$192,9,TRUE)))</f>
        <v/>
      </c>
      <c r="V1754" s="132">
        <f>$D1754-Sheet1!$M$3*$R1754</f>
        <v>0.13925600081259404</v>
      </c>
    </row>
    <row r="1755" spans="1:22" ht="13.5">
      <c r="A1755" s="6" t="s">
        <v>711</v>
      </c>
      <c r="B1755" s="6">
        <f>2^7*5^5</f>
        <v>400000</v>
      </c>
      <c r="C1755" s="6">
        <f>3^10*7</f>
        <v>413343</v>
      </c>
      <c r="D1755" s="13">
        <f t="shared" si="36"/>
        <v>56.807345798824905</v>
      </c>
      <c r="E1755" s="61">
        <v>7</v>
      </c>
      <c r="F1755" s="65">
        <v>68.456967706386536</v>
      </c>
      <c r="G1755" s="6">
        <v>581</v>
      </c>
      <c r="H1755" s="6">
        <v>556</v>
      </c>
      <c r="I1755" s="65">
        <v>6.5021647587377753</v>
      </c>
      <c r="J1755" s="6">
        <f>VLOOKUP($D1755,Sheet1!$A$5:$C$192,3,TRUE)</f>
        <v>10</v>
      </c>
      <c r="K1755" s="42" t="str">
        <f>VLOOKUP($D1755,Sheet1!$A$5:$C$192,2,TRUE)</f>
        <v>/|\</v>
      </c>
      <c r="L1755" s="6">
        <f>FLOOR(VLOOKUP($D1755,Sheet1!$D$5:$F$192,3,TRUE),1)</f>
        <v>23</v>
      </c>
      <c r="M1755" s="42" t="str">
        <f>VLOOKUP($D1755,Sheet1!$D$5:$F$192,2,TRUE)</f>
        <v>)/|\</v>
      </c>
      <c r="N1755" s="23">
        <f>FLOOR(VLOOKUP($D1755,Sheet1!$G$5:$I$192,3,TRUE),1)</f>
        <v>29</v>
      </c>
      <c r="O1755" s="42" t="str">
        <f>VLOOKUP($D1755,Sheet1!$G$5:$I$192,2,TRUE)</f>
        <v>)/|\</v>
      </c>
      <c r="P1755" s="23">
        <v>1</v>
      </c>
      <c r="Q1755" s="43" t="str">
        <f>VLOOKUP($D1755,Sheet1!$J$5:$L$192,2,TRUE)</f>
        <v>)/|\</v>
      </c>
      <c r="R1755" s="23">
        <f>FLOOR(VLOOKUP($D1755,Sheet1!$M$5:$O$192,3,TRUE),1)</f>
        <v>116</v>
      </c>
      <c r="S1755" s="42" t="str">
        <f>VLOOKUP($D1755,Sheet1!$M$5:$O$192,2,TRUE)</f>
        <v>)/|\</v>
      </c>
      <c r="T1755" s="117">
        <f>IF(ABS(D1755-VLOOKUP($D1755,Sheet1!$M$5:$T$192,8,TRUE))&lt;10^-10,"SoCA",D1755-VLOOKUP($D1755,Sheet1!$M$5:$T$192,8,TRUE))</f>
        <v>0.32544141069026011</v>
      </c>
      <c r="U1755" s="109" t="str">
        <f>IF(VLOOKUP($D1755,Sheet1!$M$5:$U$192,9,TRUE)=0,"",IF(ABS(D1755-VLOOKUP($D1755,Sheet1!$M$5:$U$192,9,TRUE))&lt;10^-10,"Alt.",D1755-VLOOKUP($D1755,Sheet1!$M$5:$U$192,9,TRUE)))</f>
        <v/>
      </c>
      <c r="V1755" s="132">
        <f>$D1755-Sheet1!$M$3*$R1755</f>
        <v>0.20880201043613766</v>
      </c>
    </row>
    <row r="1756" spans="1:22" ht="13.5">
      <c r="A1756" t="s">
        <v>559</v>
      </c>
      <c r="B1756">
        <v>819200</v>
      </c>
      <c r="C1756">
        <v>846369</v>
      </c>
      <c r="D1756" s="13">
        <f t="shared" si="36"/>
        <v>56.48528570133476</v>
      </c>
      <c r="E1756" s="61">
        <v>43</v>
      </c>
      <c r="F1756" s="65">
        <v>69.77583702141456</v>
      </c>
      <c r="G1756" s="6">
        <v>415</v>
      </c>
      <c r="H1756" s="6">
        <v>403</v>
      </c>
      <c r="I1756" s="65">
        <v>5.5219951722690599</v>
      </c>
      <c r="J1756" s="6">
        <f>VLOOKUP($D1756,Sheet1!$A$5:$C$192,3,TRUE)</f>
        <v>10</v>
      </c>
      <c r="K1756" s="42" t="str">
        <f>VLOOKUP($D1756,Sheet1!$A$5:$C$192,2,TRUE)</f>
        <v>/|\</v>
      </c>
      <c r="L1756" s="6">
        <f>FLOOR(VLOOKUP($D1756,Sheet1!$D$5:$F$192,3,TRUE),1)</f>
        <v>23</v>
      </c>
      <c r="M1756" s="42" t="str">
        <f>VLOOKUP($D1756,Sheet1!$D$5:$F$192,2,TRUE)</f>
        <v>)/|\</v>
      </c>
      <c r="N1756" s="23">
        <f>FLOOR(VLOOKUP($D1756,Sheet1!$G$5:$I$192,3,TRUE),1)</f>
        <v>29</v>
      </c>
      <c r="O1756" s="42" t="str">
        <f>VLOOKUP($D1756,Sheet1!$G$5:$I$192,2,TRUE)</f>
        <v>)/|\</v>
      </c>
      <c r="P1756" s="23">
        <v>1</v>
      </c>
      <c r="Q1756" s="43" t="str">
        <f>VLOOKUP($D1756,Sheet1!$J$5:$L$192,2,TRUE)</f>
        <v>)/|\</v>
      </c>
      <c r="R1756" s="23">
        <f>FLOOR(VLOOKUP($D1756,Sheet1!$M$5:$O$192,3,TRUE),1)</f>
        <v>116</v>
      </c>
      <c r="S1756" s="42" t="str">
        <f>VLOOKUP($D1756,Sheet1!$M$5:$O$192,2,TRUE)</f>
        <v>)/|\</v>
      </c>
      <c r="T1756" s="117">
        <f>IF(ABS(D1756-VLOOKUP($D1756,Sheet1!$M$5:$T$192,8,TRUE))&lt;10^-10,"SoCA",D1756-VLOOKUP($D1756,Sheet1!$M$5:$T$192,8,TRUE))</f>
        <v>3.3813132001156987E-3</v>
      </c>
      <c r="U1756" s="109" t="str">
        <f>IF(VLOOKUP($D1756,Sheet1!$M$5:$U$192,9,TRUE)=0,"",IF(ABS(D1756-VLOOKUP($D1756,Sheet1!$M$5:$U$192,9,TRUE))&lt;10^-10,"Alt.",D1756-VLOOKUP($D1756,Sheet1!$M$5:$U$192,9,TRUE)))</f>
        <v/>
      </c>
      <c r="V1756" s="132">
        <f>$D1756-Sheet1!$M$3*$R1756</f>
        <v>-0.11325808705400675</v>
      </c>
    </row>
    <row r="1757" spans="1:22" ht="13.5">
      <c r="A1757" t="s">
        <v>1181</v>
      </c>
      <c r="B1757">
        <v>31713</v>
      </c>
      <c r="C1757">
        <v>32768</v>
      </c>
      <c r="D1757" s="13">
        <f t="shared" si="36"/>
        <v>56.655911841355469</v>
      </c>
      <c r="E1757" s="61">
        <v>31</v>
      </c>
      <c r="F1757" s="65">
        <v>117.09155358692453</v>
      </c>
      <c r="G1757" s="6">
        <v>1084</v>
      </c>
      <c r="H1757" s="6">
        <v>1030</v>
      </c>
      <c r="I1757" s="65">
        <v>-4.4885109007968875</v>
      </c>
      <c r="J1757" s="6">
        <f>VLOOKUP($D1757,Sheet1!$A$5:$C$192,3,TRUE)</f>
        <v>10</v>
      </c>
      <c r="K1757" s="42" t="str">
        <f>VLOOKUP($D1757,Sheet1!$A$5:$C$192,2,TRUE)</f>
        <v>/|\</v>
      </c>
      <c r="L1757" s="6">
        <f>FLOOR(VLOOKUP($D1757,Sheet1!$D$5:$F$192,3,TRUE),1)</f>
        <v>23</v>
      </c>
      <c r="M1757" s="42" t="str">
        <f>VLOOKUP($D1757,Sheet1!$D$5:$F$192,2,TRUE)</f>
        <v>)/|\</v>
      </c>
      <c r="N1757" s="23">
        <f>FLOOR(VLOOKUP($D1757,Sheet1!$G$5:$I$192,3,TRUE),1)</f>
        <v>29</v>
      </c>
      <c r="O1757" s="42" t="str">
        <f>VLOOKUP($D1757,Sheet1!$G$5:$I$192,2,TRUE)</f>
        <v>)/|\</v>
      </c>
      <c r="P1757" s="23">
        <v>1</v>
      </c>
      <c r="Q1757" s="43" t="str">
        <f>VLOOKUP($D1757,Sheet1!$J$5:$L$192,2,TRUE)</f>
        <v>)/|\</v>
      </c>
      <c r="R1757" s="23">
        <f>FLOOR(VLOOKUP($D1757,Sheet1!$M$5:$O$192,3,TRUE),1)</f>
        <v>116</v>
      </c>
      <c r="S1757" s="42" t="str">
        <f>VLOOKUP($D1757,Sheet1!$M$5:$O$192,2,TRUE)</f>
        <v>)/|\</v>
      </c>
      <c r="T1757" s="117">
        <f>IF(ABS(D1757-VLOOKUP($D1757,Sheet1!$M$5:$T$192,8,TRUE))&lt;10^-10,"SoCA",D1757-VLOOKUP($D1757,Sheet1!$M$5:$T$192,8,TRUE))</f>
        <v>0.174007453220824</v>
      </c>
      <c r="U1757" s="109" t="str">
        <f>IF(VLOOKUP($D1757,Sheet1!$M$5:$U$192,9,TRUE)=0,"",IF(ABS(D1757-VLOOKUP($D1757,Sheet1!$M$5:$U$192,9,TRUE))&lt;10^-10,"Alt.",D1757-VLOOKUP($D1757,Sheet1!$M$5:$U$192,9,TRUE)))</f>
        <v/>
      </c>
      <c r="V1757" s="132">
        <f>$D1757-Sheet1!$M$3*$R1757</f>
        <v>5.7368052966701555E-2</v>
      </c>
    </row>
    <row r="1758" spans="1:22" ht="13.5">
      <c r="A1758" t="s">
        <v>1368</v>
      </c>
      <c r="B1758">
        <v>27262976</v>
      </c>
      <c r="C1758">
        <v>28166373</v>
      </c>
      <c r="D1758" s="13">
        <f t="shared" si="36"/>
        <v>56.436894091177486</v>
      </c>
      <c r="E1758" s="61" t="s">
        <v>1931</v>
      </c>
      <c r="F1758" s="65">
        <v>118.03146865470292</v>
      </c>
      <c r="G1758" s="6">
        <v>1135</v>
      </c>
      <c r="H1758" s="6">
        <v>1217</v>
      </c>
      <c r="I1758" s="65">
        <v>8.5249748200066762</v>
      </c>
      <c r="J1758" s="6">
        <f>VLOOKUP($D1758,Sheet1!$A$5:$C$192,3,TRUE)</f>
        <v>10</v>
      </c>
      <c r="K1758" s="42" t="str">
        <f>VLOOKUP($D1758,Sheet1!$A$5:$C$192,2,TRUE)</f>
        <v>/|\</v>
      </c>
      <c r="L1758" s="6">
        <f>FLOOR(VLOOKUP($D1758,Sheet1!$D$5:$F$192,3,TRUE),1)</f>
        <v>23</v>
      </c>
      <c r="M1758" s="42" t="str">
        <f>VLOOKUP($D1758,Sheet1!$D$5:$F$192,2,TRUE)</f>
        <v>)/|\</v>
      </c>
      <c r="N1758" s="23">
        <f>FLOOR(VLOOKUP($D1758,Sheet1!$G$5:$I$192,3,TRUE),1)</f>
        <v>29</v>
      </c>
      <c r="O1758" s="42" t="str">
        <f>VLOOKUP($D1758,Sheet1!$G$5:$I$192,2,TRUE)</f>
        <v>)/|\</v>
      </c>
      <c r="P1758" s="23">
        <v>1</v>
      </c>
      <c r="Q1758" s="43" t="str">
        <f>VLOOKUP($D1758,Sheet1!$J$5:$L$192,2,TRUE)</f>
        <v>)/|\</v>
      </c>
      <c r="R1758" s="23">
        <f>FLOOR(VLOOKUP($D1758,Sheet1!$M$5:$O$192,3,TRUE),1)</f>
        <v>116</v>
      </c>
      <c r="S1758" s="42" t="str">
        <f>VLOOKUP($D1758,Sheet1!$M$5:$O$192,2,TRUE)</f>
        <v>)/|\</v>
      </c>
      <c r="T1758" s="117">
        <f>IF(ABS(D1758-VLOOKUP($D1758,Sheet1!$M$5:$T$192,8,TRUE))&lt;10^-10,"SoCA",D1758-VLOOKUP($D1758,Sheet1!$M$5:$T$192,8,TRUE))</f>
        <v>-4.5010296957158857E-2</v>
      </c>
      <c r="U1758" s="109" t="str">
        <f>IF(VLOOKUP($D1758,Sheet1!$M$5:$U$192,9,TRUE)=0,"",IF(ABS(D1758-VLOOKUP($D1758,Sheet1!$M$5:$U$192,9,TRUE))&lt;10^-10,"Alt.",D1758-VLOOKUP($D1758,Sheet1!$M$5:$U$192,9,TRUE)))</f>
        <v/>
      </c>
      <c r="V1758" s="132">
        <f>$D1758-Sheet1!$M$3*$R1758</f>
        <v>-0.16164969721128131</v>
      </c>
    </row>
    <row r="1759" spans="1:22" ht="13.5">
      <c r="A1759" s="36" t="s">
        <v>221</v>
      </c>
      <c r="B1759" s="37">
        <f>2^8*5</f>
        <v>1280</v>
      </c>
      <c r="C1759" s="36">
        <f>3^3*7^2</f>
        <v>1323</v>
      </c>
      <c r="D1759" s="51">
        <f t="shared" si="36"/>
        <v>57.203101669577443</v>
      </c>
      <c r="E1759" s="61">
        <v>7</v>
      </c>
      <c r="F1759" s="65">
        <v>22.879352188937702</v>
      </c>
      <c r="G1759" s="6">
        <v>19.100000000000001</v>
      </c>
      <c r="H1759" s="6">
        <v>18.100000000000001</v>
      </c>
      <c r="I1759" s="65">
        <v>-0.52220337204159462</v>
      </c>
      <c r="J1759" s="6">
        <f>VLOOKUP($D1759,Sheet1!$A$5:$C$192,3,TRUE)</f>
        <v>11</v>
      </c>
      <c r="K1759" s="42" t="str">
        <f>VLOOKUP($D1759,Sheet1!$A$5:$C$192,2,TRUE)</f>
        <v>(|)</v>
      </c>
      <c r="L1759" s="6">
        <f>FLOOR(VLOOKUP($D1759,Sheet1!$D$5:$F$192,3,TRUE),1)</f>
        <v>23</v>
      </c>
      <c r="M1759" s="42" t="str">
        <f>VLOOKUP($D1759,Sheet1!$D$5:$F$192,2,TRUE)</f>
        <v>)/|\</v>
      </c>
      <c r="N1759" s="23">
        <f>FLOOR(VLOOKUP($D1759,Sheet1!$G$5:$I$192,3,TRUE),1)</f>
        <v>29</v>
      </c>
      <c r="O1759" s="43" t="str">
        <f>VLOOKUP($D1759,Sheet1!$G$5:$I$192,2,TRUE)</f>
        <v>)/|\</v>
      </c>
      <c r="P1759" s="23">
        <v>1</v>
      </c>
      <c r="Q1759" s="45" t="str">
        <f>VLOOKUP($D1759,Sheet1!$J$5:$L$192,2,TRUE)</f>
        <v>)/|\'</v>
      </c>
      <c r="R1759" s="38">
        <f>FLOOR(VLOOKUP($D1759,Sheet1!$M$5:$O$192,3,TRUE),1)</f>
        <v>117</v>
      </c>
      <c r="S1759" s="45" t="str">
        <f>VLOOKUP($D1759,Sheet1!$M$5:$O$192,2,TRUE)</f>
        <v>)/|\'</v>
      </c>
      <c r="T1759" s="112" t="str">
        <f>IF(ABS(D1759-VLOOKUP($D1759,Sheet1!$M$5:$T$192,8,TRUE))&lt;10^-10,"SoCA",D1759-VLOOKUP($D1759,Sheet1!$M$5:$T$192,8,TRUE))</f>
        <v>SoCA</v>
      </c>
      <c r="U1759" s="108" t="str">
        <f>IF(VLOOKUP($D1759,Sheet1!$M$5:$U$192,9,TRUE)=0,"",IF(ABS(D1759-VLOOKUP($D1759,Sheet1!$M$5:$U$192,9,TRUE))&lt;10^-10,"Alt.",D1759-VLOOKUP($D1759,Sheet1!$M$5:$U$192,9,TRUE)))</f>
        <v/>
      </c>
      <c r="V1759" s="133">
        <f>$D1759-Sheet1!$M$3*$R1759</f>
        <v>0.11663940025428587</v>
      </c>
    </row>
    <row r="1760" spans="1:22" ht="13.5">
      <c r="A1760" s="23" t="s">
        <v>2068</v>
      </c>
      <c r="B1760" s="21">
        <f>2^10*31</f>
        <v>31744</v>
      </c>
      <c r="C1760" s="21">
        <f>3^8*5</f>
        <v>32805</v>
      </c>
      <c r="D1760" s="51">
        <f t="shared" si="36"/>
        <v>56.918148323683951</v>
      </c>
      <c r="E1760" s="22">
        <v>31</v>
      </c>
      <c r="F1760" s="65">
        <v>38.798778160146064</v>
      </c>
      <c r="G1760" s="14">
        <v>118.1</v>
      </c>
      <c r="H1760" s="14">
        <v>110.1</v>
      </c>
      <c r="I1760" s="65">
        <v>4.4953422436066273</v>
      </c>
      <c r="J1760" s="6">
        <f>VLOOKUP($D1760,Sheet1!$A$5:$C$192,3,TRUE)</f>
        <v>11</v>
      </c>
      <c r="K1760" s="42" t="str">
        <f>VLOOKUP($D1760,Sheet1!$A$5:$C$192,2,TRUE)</f>
        <v>(|)</v>
      </c>
      <c r="L1760" s="6">
        <f>FLOOR(VLOOKUP($D1760,Sheet1!$D$5:$F$192,3,TRUE),1)</f>
        <v>23</v>
      </c>
      <c r="M1760" s="42" t="str">
        <f>VLOOKUP($D1760,Sheet1!$D$5:$F$192,2,TRUE)</f>
        <v>)/|\</v>
      </c>
      <c r="N1760" s="23">
        <f>FLOOR(VLOOKUP($D1760,Sheet1!$G$5:$I$192,3,TRUE),1)</f>
        <v>29</v>
      </c>
      <c r="O1760" s="42" t="str">
        <f>VLOOKUP($D1760,Sheet1!$G$5:$I$192,2,TRUE)</f>
        <v>)/|\</v>
      </c>
      <c r="P1760" s="23">
        <v>1</v>
      </c>
      <c r="Q1760" s="43" t="str">
        <f>VLOOKUP($D1760,Sheet1!$J$5:$L$192,2,TRUE)</f>
        <v>)/|\'</v>
      </c>
      <c r="R1760" s="23">
        <f>FLOOR(VLOOKUP($D1760,Sheet1!$M$5:$O$192,3,TRUE),1)</f>
        <v>117</v>
      </c>
      <c r="S1760" s="42" t="str">
        <f>VLOOKUP($D1760,Sheet1!$M$5:$O$192,2,TRUE)</f>
        <v>)/|\'</v>
      </c>
      <c r="T1760" s="117">
        <f>IF(ABS(D1760-VLOOKUP($D1760,Sheet1!$M$5:$T$192,8,TRUE))&lt;10^-10,"SoCA",D1760-VLOOKUP($D1760,Sheet1!$M$5:$T$192,8,TRUE))</f>
        <v>-0.2849533458933351</v>
      </c>
      <c r="U1760" s="109" t="str">
        <f>IF(VLOOKUP($D1760,Sheet1!$M$5:$U$192,9,TRUE)=0,"",IF(ABS(D1760-VLOOKUP($D1760,Sheet1!$M$5:$U$192,9,TRUE))&lt;10^-10,"Alt.",D1760-VLOOKUP($D1760,Sheet1!$M$5:$U$192,9,TRUE)))</f>
        <v/>
      </c>
      <c r="V1760" s="132">
        <f>$D1760-Sheet1!$M$3*$R1760</f>
        <v>-0.16831394563920554</v>
      </c>
    </row>
    <row r="1761" spans="1:22" ht="13.5">
      <c r="A1761" s="23" t="s">
        <v>1957</v>
      </c>
      <c r="B1761" s="21">
        <f>2^17*17</f>
        <v>2228224</v>
      </c>
      <c r="C1761" s="21">
        <f>3^11*13</f>
        <v>2302911</v>
      </c>
      <c r="D1761" s="13">
        <f t="shared" si="36"/>
        <v>57.077261788164968</v>
      </c>
      <c r="E1761" s="22">
        <v>17</v>
      </c>
      <c r="F1761" s="65">
        <v>51.320755197825662</v>
      </c>
      <c r="G1761" s="6">
        <v>117.1</v>
      </c>
      <c r="H1761" s="6">
        <v>122.1</v>
      </c>
      <c r="I1761" s="92">
        <v>1.7155923284547188</v>
      </c>
      <c r="J1761" s="6">
        <f>VLOOKUP($D1761,Sheet1!$A$5:$C$192,3,TRUE)</f>
        <v>11</v>
      </c>
      <c r="K1761" s="42" t="str">
        <f>VLOOKUP($D1761,Sheet1!$A$5:$C$192,2,TRUE)</f>
        <v>(|)</v>
      </c>
      <c r="L1761" s="6">
        <f>FLOOR(VLOOKUP($D1761,Sheet1!$D$5:$F$192,3,TRUE),1)</f>
        <v>23</v>
      </c>
      <c r="M1761" s="42" t="str">
        <f>VLOOKUP($D1761,Sheet1!$D$5:$F$192,2,TRUE)</f>
        <v>)/|\</v>
      </c>
      <c r="N1761" s="23">
        <f>FLOOR(VLOOKUP($D1761,Sheet1!$G$5:$I$192,3,TRUE),1)</f>
        <v>29</v>
      </c>
      <c r="O1761" s="42" t="str">
        <f>VLOOKUP($D1761,Sheet1!$G$5:$I$192,2,TRUE)</f>
        <v>)/|\</v>
      </c>
      <c r="P1761" s="23">
        <v>1</v>
      </c>
      <c r="Q1761" s="43" t="str">
        <f>VLOOKUP($D1761,Sheet1!$J$5:$L$192,2,TRUE)</f>
        <v>)/|\'</v>
      </c>
      <c r="R1761" s="23">
        <f>FLOOR(VLOOKUP($D1761,Sheet1!$M$5:$O$192,3,TRUE),1)</f>
        <v>117</v>
      </c>
      <c r="S1761" s="43" t="str">
        <f>VLOOKUP($D1761,Sheet1!$M$5:$O$192,2,TRUE)</f>
        <v>)/|\'</v>
      </c>
      <c r="T1761" s="117">
        <f>IF(ABS(D1761-VLOOKUP($D1761,Sheet1!$M$5:$T$192,8,TRUE))&lt;10^-10,"SoCA",D1761-VLOOKUP($D1761,Sheet1!$M$5:$T$192,8,TRUE))</f>
        <v>-0.12583988141231828</v>
      </c>
      <c r="U1761" s="117" t="str">
        <f>IF(VLOOKUP($D1761,Sheet1!$M$5:$U$192,9,TRUE)=0,"",IF(ABS(D1761-VLOOKUP($D1761,Sheet1!$M$5:$U$192,9,TRUE))&lt;10^-10,"Alt.",D1761-VLOOKUP($D1761,Sheet1!$M$5:$U$192,9,TRUE)))</f>
        <v/>
      </c>
      <c r="V1761" s="132">
        <f>$D1761-Sheet1!$M$3*$R1761</f>
        <v>-9.2004811581887225E-3</v>
      </c>
    </row>
    <row r="1762" spans="1:22" ht="13.5">
      <c r="A1762" s="6" t="s">
        <v>2070</v>
      </c>
      <c r="B1762" s="14">
        <f>2^4*3^3*7</f>
        <v>3024</v>
      </c>
      <c r="C1762" s="14">
        <f>5^5</f>
        <v>3125</v>
      </c>
      <c r="D1762" s="13">
        <f t="shared" si="36"/>
        <v>56.877660258886948</v>
      </c>
      <c r="E1762" s="6">
        <v>7</v>
      </c>
      <c r="F1762" s="65">
        <v>58.560836241923738</v>
      </c>
      <c r="G1762" s="6">
        <v>581</v>
      </c>
      <c r="H1762" s="6">
        <v>556</v>
      </c>
      <c r="I1762" s="65">
        <v>-6.50216475873777</v>
      </c>
      <c r="J1762" s="6">
        <f>VLOOKUP($D1762,Sheet1!$A$5:$C$192,3,TRUE)</f>
        <v>11</v>
      </c>
      <c r="K1762" s="42" t="str">
        <f>VLOOKUP($D1762,Sheet1!$A$5:$C$192,2,TRUE)</f>
        <v>(|)</v>
      </c>
      <c r="L1762" s="6">
        <f>FLOOR(VLOOKUP($D1762,Sheet1!$D$5:$F$192,3,TRUE),1)</f>
        <v>23</v>
      </c>
      <c r="M1762" s="42" t="str">
        <f>VLOOKUP($D1762,Sheet1!$D$5:$F$192,2,TRUE)</f>
        <v>)/|\</v>
      </c>
      <c r="N1762" s="23">
        <f>FLOOR(VLOOKUP($D1762,Sheet1!$G$5:$I$192,3,TRUE),1)</f>
        <v>29</v>
      </c>
      <c r="O1762" s="42" t="str">
        <f>VLOOKUP($D1762,Sheet1!$G$5:$I$192,2,TRUE)</f>
        <v>)/|\</v>
      </c>
      <c r="P1762" s="23">
        <v>1</v>
      </c>
      <c r="Q1762" s="43" t="str">
        <f>VLOOKUP($D1762,Sheet1!$J$5:$L$192,2,TRUE)</f>
        <v>)/|\'</v>
      </c>
      <c r="R1762" s="23">
        <f>FLOOR(VLOOKUP($D1762,Sheet1!$M$5:$O$192,3,TRUE),1)</f>
        <v>117</v>
      </c>
      <c r="S1762" s="42" t="str">
        <f>VLOOKUP($D1762,Sheet1!$M$5:$O$192,2,TRUE)</f>
        <v>)/|\'</v>
      </c>
      <c r="T1762" s="117">
        <f>IF(ABS(D1762-VLOOKUP($D1762,Sheet1!$M$5:$T$192,8,TRUE))&lt;10^-10,"SoCA",D1762-VLOOKUP($D1762,Sheet1!$M$5:$T$192,8,TRUE))</f>
        <v>-0.32544141069033827</v>
      </c>
      <c r="U1762" s="109" t="str">
        <f>IF(VLOOKUP($D1762,Sheet1!$M$5:$U$192,9,TRUE)=0,"",IF(ABS(D1762-VLOOKUP($D1762,Sheet1!$M$5:$U$192,9,TRUE))&lt;10^-10,"Alt.",D1762-VLOOKUP($D1762,Sheet1!$M$5:$U$192,9,TRUE)))</f>
        <v/>
      </c>
      <c r="V1762" s="132">
        <f>$D1762-Sheet1!$M$3*$R1762</f>
        <v>-0.20880201043620872</v>
      </c>
    </row>
    <row r="1763" spans="1:22" ht="13.5">
      <c r="A1763" s="6" t="s">
        <v>2071</v>
      </c>
      <c r="B1763" s="18">
        <f>2^27</f>
        <v>134217728</v>
      </c>
      <c r="C1763" s="18">
        <f>3^14*29</f>
        <v>138706101</v>
      </c>
      <c r="D1763" s="13">
        <f t="shared" si="36"/>
        <v>56.947206268510392</v>
      </c>
      <c r="E1763" s="6">
        <v>29</v>
      </c>
      <c r="F1763" s="65">
        <v>203.87922491919142</v>
      </c>
      <c r="G1763" s="6">
        <v>183.1</v>
      </c>
      <c r="H1763" s="6">
        <v>1208.0999999999999</v>
      </c>
      <c r="I1763" s="65">
        <v>10.493553040079806</v>
      </c>
      <c r="J1763" s="6">
        <f>VLOOKUP($D1763,Sheet1!$A$5:$C$192,3,TRUE)</f>
        <v>11</v>
      </c>
      <c r="K1763" s="42" t="str">
        <f>VLOOKUP($D1763,Sheet1!$A$5:$C$192,2,TRUE)</f>
        <v>(|)</v>
      </c>
      <c r="L1763" s="6">
        <f>FLOOR(VLOOKUP($D1763,Sheet1!$D$5:$F$192,3,TRUE),1)</f>
        <v>23</v>
      </c>
      <c r="M1763" s="42" t="str">
        <f>VLOOKUP($D1763,Sheet1!$D$5:$F$192,2,TRUE)</f>
        <v>)/|\</v>
      </c>
      <c r="N1763" s="23">
        <f>FLOOR(VLOOKUP($D1763,Sheet1!$G$5:$I$192,3,TRUE),1)</f>
        <v>29</v>
      </c>
      <c r="O1763" s="42" t="str">
        <f>VLOOKUP($D1763,Sheet1!$G$5:$I$192,2,TRUE)</f>
        <v>)/|\</v>
      </c>
      <c r="P1763" s="23">
        <v>1</v>
      </c>
      <c r="Q1763" s="43" t="str">
        <f>VLOOKUP($D1763,Sheet1!$J$5:$L$192,2,TRUE)</f>
        <v>)/|\'</v>
      </c>
      <c r="R1763" s="23">
        <f>FLOOR(VLOOKUP($D1763,Sheet1!$M$5:$O$192,3,TRUE),1)</f>
        <v>117</v>
      </c>
      <c r="S1763" s="42" t="str">
        <f>VLOOKUP($D1763,Sheet1!$M$5:$O$192,2,TRUE)</f>
        <v>)/|\'</v>
      </c>
      <c r="T1763" s="117">
        <f>IF(ABS(D1763-VLOOKUP($D1763,Sheet1!$M$5:$T$192,8,TRUE))&lt;10^-10,"SoCA",D1763-VLOOKUP($D1763,Sheet1!$M$5:$T$192,8,TRUE))</f>
        <v>-0.25589540106689412</v>
      </c>
      <c r="U1763" s="109" t="str">
        <f>IF(VLOOKUP($D1763,Sheet1!$M$5:$U$192,9,TRUE)=0,"",IF(ABS(D1763-VLOOKUP($D1763,Sheet1!$M$5:$U$192,9,TRUE))&lt;10^-10,"Alt.",D1763-VLOOKUP($D1763,Sheet1!$M$5:$U$192,9,TRUE)))</f>
        <v/>
      </c>
      <c r="V1763" s="132">
        <f>$D1763-Sheet1!$M$3*$R1763</f>
        <v>-0.13925600081276457</v>
      </c>
    </row>
    <row r="1764" spans="1:22" ht="13.5">
      <c r="A1764" s="6" t="s">
        <v>1990</v>
      </c>
      <c r="B1764" s="6">
        <f>2^11*5^3</f>
        <v>256000</v>
      </c>
      <c r="C1764" s="6">
        <f>3^7*11^2</f>
        <v>264627</v>
      </c>
      <c r="D1764" s="13">
        <f t="shared" si="36"/>
        <v>57.379749192720958</v>
      </c>
      <c r="E1764" s="22">
        <v>11</v>
      </c>
      <c r="F1764" s="65">
        <v>45.807155702592951</v>
      </c>
      <c r="G1764" s="6">
        <v>989.1</v>
      </c>
      <c r="H1764" s="6">
        <v>923.1</v>
      </c>
      <c r="I1764" s="65">
        <v>3.4669197963964939</v>
      </c>
      <c r="J1764" s="6">
        <f>VLOOKUP($D1764,Sheet1!$A$5:$C$192,3,TRUE)</f>
        <v>11</v>
      </c>
      <c r="K1764" s="42" t="str">
        <f>VLOOKUP($D1764,Sheet1!$A$5:$C$192,2,TRUE)</f>
        <v>(|)</v>
      </c>
      <c r="L1764" s="6">
        <f>FLOOR(VLOOKUP($D1764,Sheet1!$D$5:$F$192,3,TRUE),1)</f>
        <v>23</v>
      </c>
      <c r="M1764" s="42" t="str">
        <f>VLOOKUP($D1764,Sheet1!$D$5:$F$192,2,TRUE)</f>
        <v>)/|\</v>
      </c>
      <c r="N1764" s="23">
        <f>FLOOR(VLOOKUP($D1764,Sheet1!$G$5:$I$192,3,TRUE),1)</f>
        <v>29</v>
      </c>
      <c r="O1764" s="42" t="str">
        <f>VLOOKUP($D1764,Sheet1!$G$5:$I$192,2,TRUE)</f>
        <v>)/|\</v>
      </c>
      <c r="P1764" s="23">
        <v>1</v>
      </c>
      <c r="Q1764" s="43" t="str">
        <f>VLOOKUP($D1764,Sheet1!$J$5:$L$192,2,TRUE)</f>
        <v>)/|\''</v>
      </c>
      <c r="R1764" s="23">
        <f>FLOOR(VLOOKUP($D1764,Sheet1!$M$5:$O$192,3,TRUE),1)</f>
        <v>118</v>
      </c>
      <c r="S1764" s="42" t="str">
        <f>VLOOKUP($D1764,Sheet1!$M$5:$O$192,2,TRUE)</f>
        <v>)/|\''</v>
      </c>
      <c r="T1764" s="117">
        <f>IF(ABS(D1764-VLOOKUP($D1764,Sheet1!$M$5:$T$192,8,TRUE))&lt;10^-10,"SoCA",D1764-VLOOKUP($D1764,Sheet1!$M$5:$T$192,8,TRUE))</f>
        <v>-0.24606864281115293</v>
      </c>
      <c r="U1764" s="109">
        <f>IF(VLOOKUP($D1764,Sheet1!$M$5:$U$192,9,TRUE)=0,"",IF(ABS(D1764-VLOOKUP($D1764,Sheet1!$M$5:$U$192,9,TRUE))&lt;10^-10,"Alt.",D1764-VLOOKUP($D1764,Sheet1!$M$5:$U$192,9,TRUE)))</f>
        <v>-0.21910834760871722</v>
      </c>
      <c r="V1764" s="132">
        <f>$D1764-Sheet1!$M$3*$R1764</f>
        <v>-0.19463155753658157</v>
      </c>
    </row>
    <row r="1765" spans="1:22" ht="13.5">
      <c r="A1765" s="38" t="s">
        <v>222</v>
      </c>
      <c r="B1765" s="38">
        <f>2^5*5*7*17</f>
        <v>19040</v>
      </c>
      <c r="C1765" s="38">
        <f>3^9</f>
        <v>19683</v>
      </c>
      <c r="D1765" s="13">
        <f t="shared" si="36"/>
        <v>57.499977954119714</v>
      </c>
      <c r="E1765" s="61">
        <v>17</v>
      </c>
      <c r="F1765" s="65">
        <v>51.673762066479405</v>
      </c>
      <c r="G1765" s="63">
        <v>10001.1</v>
      </c>
      <c r="H1765" s="59">
        <v>516.6</v>
      </c>
      <c r="I1765" s="65">
        <v>5.4595168735399469</v>
      </c>
      <c r="J1765" s="6">
        <f>VLOOKUP($D1765,Sheet1!$A$5:$C$192,3,TRUE)</f>
        <v>11</v>
      </c>
      <c r="K1765" s="42" t="str">
        <f>VLOOKUP($D1765,Sheet1!$A$5:$C$192,2,TRUE)</f>
        <v>(|)</v>
      </c>
      <c r="L1765" s="6">
        <f>FLOOR(VLOOKUP($D1765,Sheet1!$D$5:$F$192,3,TRUE),1)</f>
        <v>23</v>
      </c>
      <c r="M1765" s="42" t="str">
        <f>VLOOKUP($D1765,Sheet1!$D$5:$F$192,2,TRUE)</f>
        <v>)/|\</v>
      </c>
      <c r="N1765" s="23">
        <f>FLOOR(VLOOKUP($D1765,Sheet1!$G$5:$I$192,3,TRUE),1)</f>
        <v>29</v>
      </c>
      <c r="O1765" s="42" t="str">
        <f>VLOOKUP($D1765,Sheet1!$G$5:$I$192,2,TRUE)</f>
        <v>)/|\</v>
      </c>
      <c r="P1765" s="23">
        <v>1</v>
      </c>
      <c r="Q1765" s="45" t="str">
        <f>VLOOKUP($D1765,Sheet1!$J$5:$L$192,2,TRUE)</f>
        <v>)/|\''</v>
      </c>
      <c r="R1765" s="38">
        <f>FLOOR(VLOOKUP($D1765,Sheet1!$M$5:$O$192,3,TRUE),1)</f>
        <v>118</v>
      </c>
      <c r="S1765" s="45" t="str">
        <f>VLOOKUP($D1765,Sheet1!$M$5:$O$192,2,TRUE)</f>
        <v>)/|\''</v>
      </c>
      <c r="T1765" s="108">
        <f>IF(ABS(D1765-VLOOKUP($D1765,Sheet1!$M$5:$T$192,8,TRUE))&lt;10^-10,"SoCA",D1765-VLOOKUP($D1765,Sheet1!$M$5:$T$192,8,TRUE))</f>
        <v>-0.12583988141239644</v>
      </c>
      <c r="U1765" s="108">
        <f>IF(VLOOKUP($D1765,Sheet1!$M$5:$U$192,9,TRUE)=0,"",IF(ABS(D1765-VLOOKUP($D1765,Sheet1!$M$5:$U$192,9,TRUE))&lt;10^-10,"Alt.",D1765-VLOOKUP($D1765,Sheet1!$M$5:$U$192,9,TRUE)))</f>
        <v>-9.8879586209960735E-2</v>
      </c>
      <c r="V1765" s="133">
        <f>$D1765-Sheet1!$M$3*$R1765</f>
        <v>-7.4402796137825078E-2</v>
      </c>
    </row>
    <row r="1766" spans="1:22" ht="13.5">
      <c r="A1766" s="21" t="s">
        <v>1782</v>
      </c>
      <c r="B1766" s="21">
        <f>2^2*37</f>
        <v>148</v>
      </c>
      <c r="C1766" s="21">
        <f>3^2*17</f>
        <v>153</v>
      </c>
      <c r="D1766" s="13">
        <f t="shared" ref="D1766:D1797" si="37">1200*LN($C1766/$B1766)/LN(2)</f>
        <v>57.521372476442366</v>
      </c>
      <c r="E1766" s="61">
        <v>37</v>
      </c>
      <c r="F1766" s="65">
        <v>54.076846833821371</v>
      </c>
      <c r="G1766" s="6">
        <v>179</v>
      </c>
      <c r="H1766" s="6">
        <v>161</v>
      </c>
      <c r="I1766" s="65">
        <v>-1.5418004651439472</v>
      </c>
      <c r="J1766" s="6">
        <f>VLOOKUP($D1766,Sheet1!$A$5:$C$192,3,TRUE)</f>
        <v>11</v>
      </c>
      <c r="K1766" s="42" t="str">
        <f>VLOOKUP($D1766,Sheet1!$A$5:$C$192,2,TRUE)</f>
        <v>(|)</v>
      </c>
      <c r="L1766" s="6">
        <f>FLOOR(VLOOKUP($D1766,Sheet1!$D$5:$F$192,3,TRUE),1)</f>
        <v>23</v>
      </c>
      <c r="M1766" s="42" t="str">
        <f>VLOOKUP($D1766,Sheet1!$D$5:$F$192,2,TRUE)</f>
        <v>)/|\</v>
      </c>
      <c r="N1766" s="23">
        <f>FLOOR(VLOOKUP($D1766,Sheet1!$G$5:$I$192,3,TRUE),1)</f>
        <v>29</v>
      </c>
      <c r="O1766" s="42" t="str">
        <f>VLOOKUP($D1766,Sheet1!$G$5:$I$192,2,TRUE)</f>
        <v>)/|\</v>
      </c>
      <c r="P1766" s="23">
        <v>1</v>
      </c>
      <c r="Q1766" s="43" t="str">
        <f>VLOOKUP($D1766,Sheet1!$J$5:$L$192,2,TRUE)</f>
        <v>)/|\''</v>
      </c>
      <c r="R1766" s="23">
        <f>FLOOR(VLOOKUP($D1766,Sheet1!$M$5:$O$192,3,TRUE),1)</f>
        <v>118</v>
      </c>
      <c r="S1766" s="43" t="str">
        <f>VLOOKUP($D1766,Sheet1!$M$5:$O$192,2,TRUE)</f>
        <v>)/|\''</v>
      </c>
      <c r="T1766" s="117">
        <f>IF(ABS(D1766-VLOOKUP($D1766,Sheet1!$M$5:$T$192,8,TRUE))&lt;10^-10,"SoCA",D1766-VLOOKUP($D1766,Sheet1!$M$5:$T$192,8,TRUE))</f>
        <v>-0.10444535908974473</v>
      </c>
      <c r="U1766" s="109">
        <f>IF(VLOOKUP($D1766,Sheet1!$M$5:$U$192,9,TRUE)=0,"",IF(ABS(D1766-VLOOKUP($D1766,Sheet1!$M$5:$U$192,9,TRUE))&lt;10^-10,"Alt.",D1766-VLOOKUP($D1766,Sheet1!$M$5:$U$192,9,TRUE)))</f>
        <v>-7.7485063887309025E-2</v>
      </c>
      <c r="V1766" s="132">
        <f>$D1766-Sheet1!$M$3*$R1766</f>
        <v>-5.3008273815173368E-2</v>
      </c>
    </row>
    <row r="1767" spans="1:22" ht="13.5">
      <c r="A1767" s="6" t="s">
        <v>1991</v>
      </c>
      <c r="B1767" s="6">
        <f>2^18*5</f>
        <v>1310720</v>
      </c>
      <c r="C1767" s="6">
        <f>3^6*11*13^2</f>
        <v>1355211</v>
      </c>
      <c r="D1767" s="13">
        <f t="shared" si="37"/>
        <v>57.789557230867658</v>
      </c>
      <c r="E1767" s="22">
        <v>13</v>
      </c>
      <c r="F1767" s="65">
        <v>59.525742211449533</v>
      </c>
      <c r="G1767" s="6">
        <v>886.1</v>
      </c>
      <c r="H1767" s="6">
        <v>823.1</v>
      </c>
      <c r="I1767" s="65">
        <v>2.4416864224758323</v>
      </c>
      <c r="J1767" s="6">
        <f>VLOOKUP($D1767,Sheet1!$A$5:$C$192,3,TRUE)</f>
        <v>11</v>
      </c>
      <c r="K1767" s="42" t="str">
        <f>VLOOKUP($D1767,Sheet1!$A$5:$C$192,2,TRUE)</f>
        <v>(|)</v>
      </c>
      <c r="L1767" s="6">
        <f>FLOOR(VLOOKUP($D1767,Sheet1!$D$5:$F$192,3,TRUE),1)</f>
        <v>23</v>
      </c>
      <c r="M1767" s="42" t="str">
        <f>VLOOKUP($D1767,Sheet1!$D$5:$F$192,2,TRUE)</f>
        <v>)/|\</v>
      </c>
      <c r="N1767" s="23">
        <f>FLOOR(VLOOKUP($D1767,Sheet1!$G$5:$I$192,3,TRUE),1)</f>
        <v>29</v>
      </c>
      <c r="O1767" s="42" t="str">
        <f>VLOOKUP($D1767,Sheet1!$G$5:$I$192,2,TRUE)</f>
        <v>)/|\</v>
      </c>
      <c r="P1767" s="23">
        <v>1</v>
      </c>
      <c r="Q1767" s="43" t="str">
        <f>VLOOKUP($D1767,Sheet1!$J$5:$L$192,2,TRUE)</f>
        <v>)/|\''</v>
      </c>
      <c r="R1767" s="23">
        <f>FLOOR(VLOOKUP($D1767,Sheet1!$M$5:$O$192,3,TRUE),1)</f>
        <v>118</v>
      </c>
      <c r="S1767" s="42" t="str">
        <f>VLOOKUP($D1767,Sheet1!$M$5:$O$192,2,TRUE)</f>
        <v>)/|\''</v>
      </c>
      <c r="T1767" s="117">
        <f>IF(ABS(D1767-VLOOKUP($D1767,Sheet1!$M$5:$T$192,8,TRUE))&lt;10^-10,"SoCA",D1767-VLOOKUP($D1767,Sheet1!$M$5:$T$192,8,TRUE))</f>
        <v>0.16373939533554704</v>
      </c>
      <c r="U1767" s="109">
        <f>IF(VLOOKUP($D1767,Sheet1!$M$5:$U$192,9,TRUE)=0,"",IF(ABS(D1767-VLOOKUP($D1767,Sheet1!$M$5:$U$192,9,TRUE))&lt;10^-10,"Alt.",D1767-VLOOKUP($D1767,Sheet1!$M$5:$U$192,9,TRUE)))</f>
        <v>0.19069969053798275</v>
      </c>
      <c r="V1767" s="132">
        <f>$D1767-Sheet1!$M$3*$R1767</f>
        <v>0.2151764806101184</v>
      </c>
    </row>
    <row r="1768" spans="1:22" ht="13.5">
      <c r="A1768" s="23" t="s">
        <v>1781</v>
      </c>
      <c r="B1768" s="23">
        <f>2^12</f>
        <v>4096</v>
      </c>
      <c r="C1768" s="23">
        <f>5*7*11^2</f>
        <v>4235</v>
      </c>
      <c r="D1768" s="13">
        <f t="shared" si="37"/>
        <v>57.775505063473169</v>
      </c>
      <c r="E1768" s="61">
        <v>11</v>
      </c>
      <c r="F1768" s="65">
        <v>61.326432365756695</v>
      </c>
      <c r="G1768" s="6">
        <v>313</v>
      </c>
      <c r="H1768" s="6">
        <v>283</v>
      </c>
      <c r="I1768" s="65">
        <v>-3.5574483343828556</v>
      </c>
      <c r="J1768" s="6">
        <f>VLOOKUP($D1768,Sheet1!$A$5:$C$192,3,TRUE)</f>
        <v>11</v>
      </c>
      <c r="K1768" s="42" t="str">
        <f>VLOOKUP($D1768,Sheet1!$A$5:$C$192,2,TRUE)</f>
        <v>(|)</v>
      </c>
      <c r="L1768" s="6">
        <f>FLOOR(VLOOKUP($D1768,Sheet1!$D$5:$F$192,3,TRUE),1)</f>
        <v>23</v>
      </c>
      <c r="M1768" s="42" t="str">
        <f>VLOOKUP($D1768,Sheet1!$D$5:$F$192,2,TRUE)</f>
        <v>)/|\</v>
      </c>
      <c r="N1768" s="23">
        <f>FLOOR(VLOOKUP($D1768,Sheet1!$G$5:$I$192,3,TRUE),1)</f>
        <v>29</v>
      </c>
      <c r="O1768" s="42" t="str">
        <f>VLOOKUP($D1768,Sheet1!$G$5:$I$192,2,TRUE)</f>
        <v>)/|\</v>
      </c>
      <c r="P1768" s="23">
        <v>1</v>
      </c>
      <c r="Q1768" s="43" t="str">
        <f>VLOOKUP($D1768,Sheet1!$J$5:$L$192,2,TRUE)</f>
        <v>)/|\''</v>
      </c>
      <c r="R1768" s="23">
        <f>FLOOR(VLOOKUP($D1768,Sheet1!$M$5:$O$192,3,TRUE),1)</f>
        <v>118</v>
      </c>
      <c r="S1768" s="43" t="str">
        <f>VLOOKUP($D1768,Sheet1!$M$5:$O$192,2,TRUE)</f>
        <v>)/|\''</v>
      </c>
      <c r="T1768" s="117">
        <f>IF(ABS(D1768-VLOOKUP($D1768,Sheet1!$M$5:$T$192,8,TRUE))&lt;10^-10,"SoCA",D1768-VLOOKUP($D1768,Sheet1!$M$5:$T$192,8,TRUE))</f>
        <v>0.14968722794105815</v>
      </c>
      <c r="U1768" s="109">
        <f>IF(VLOOKUP($D1768,Sheet1!$M$5:$U$192,9,TRUE)=0,"",IF(ABS(D1768-VLOOKUP($D1768,Sheet1!$M$5:$U$192,9,TRUE))&lt;10^-10,"Alt.",D1768-VLOOKUP($D1768,Sheet1!$M$5:$U$192,9,TRUE)))</f>
        <v>0.17664752314349386</v>
      </c>
      <c r="V1768" s="132">
        <f>$D1768-Sheet1!$M$3*$R1768</f>
        <v>0.20112431321562951</v>
      </c>
    </row>
    <row r="1769" spans="1:22" ht="13.5">
      <c r="A1769" s="23" t="s">
        <v>1780</v>
      </c>
      <c r="B1769" s="17">
        <f>2^20*5^2</f>
        <v>26214400</v>
      </c>
      <c r="C1769" s="17">
        <f>3^13*17</f>
        <v>27103491</v>
      </c>
      <c r="D1769" s="13">
        <f t="shared" si="37"/>
        <v>57.74299302077393</v>
      </c>
      <c r="E1769" s="61">
        <v>17</v>
      </c>
      <c r="F1769" s="65">
        <v>115.07388162032436</v>
      </c>
      <c r="G1769" s="6">
        <v>518.1</v>
      </c>
      <c r="H1769" s="6">
        <v>736.1</v>
      </c>
      <c r="I1769" s="65">
        <v>9.4445535505339571</v>
      </c>
      <c r="J1769" s="6">
        <f>VLOOKUP($D1769,Sheet1!$A$5:$C$192,3,TRUE)</f>
        <v>11</v>
      </c>
      <c r="K1769" s="42" t="str">
        <f>VLOOKUP($D1769,Sheet1!$A$5:$C$192,2,TRUE)</f>
        <v>(|)</v>
      </c>
      <c r="L1769" s="6">
        <f>FLOOR(VLOOKUP($D1769,Sheet1!$D$5:$F$192,3,TRUE),1)</f>
        <v>23</v>
      </c>
      <c r="M1769" s="42" t="str">
        <f>VLOOKUP($D1769,Sheet1!$D$5:$F$192,2,TRUE)</f>
        <v>)/|\</v>
      </c>
      <c r="N1769" s="23">
        <f>FLOOR(VLOOKUP($D1769,Sheet1!$G$5:$I$192,3,TRUE),1)</f>
        <v>29</v>
      </c>
      <c r="O1769" s="42" t="str">
        <f>VLOOKUP($D1769,Sheet1!$G$5:$I$192,2,TRUE)</f>
        <v>)/|\</v>
      </c>
      <c r="P1769" s="23">
        <v>1</v>
      </c>
      <c r="Q1769" s="43" t="str">
        <f>VLOOKUP($D1769,Sheet1!$J$5:$L$192,2,TRUE)</f>
        <v>)/|\''</v>
      </c>
      <c r="R1769" s="23">
        <f>FLOOR(VLOOKUP($D1769,Sheet1!$M$5:$O$192,3,TRUE),1)</f>
        <v>118</v>
      </c>
      <c r="S1769" s="43" t="str">
        <f>VLOOKUP($D1769,Sheet1!$M$5:$O$192,2,TRUE)</f>
        <v>)/|\''</v>
      </c>
      <c r="T1769" s="117">
        <f>IF(ABS(D1769-VLOOKUP($D1769,Sheet1!$M$5:$T$192,8,TRUE))&lt;10^-10,"SoCA",D1769-VLOOKUP($D1769,Sheet1!$M$5:$T$192,8,TRUE))</f>
        <v>0.11717518524181969</v>
      </c>
      <c r="U1769" s="117">
        <f>IF(VLOOKUP($D1769,Sheet1!$M$5:$U$192,9,TRUE)=0,"",IF(ABS(D1769-VLOOKUP($D1769,Sheet1!$M$5:$U$192,9,TRUE))&lt;10^-10,"Alt.",D1769-VLOOKUP($D1769,Sheet1!$M$5:$U$192,9,TRUE)))</f>
        <v>0.14413548044425539</v>
      </c>
      <c r="V1769" s="132">
        <f>$D1769-Sheet1!$M$3*$R1769</f>
        <v>0.16861227051639105</v>
      </c>
    </row>
    <row r="1770" spans="1:22" ht="13.5">
      <c r="A1770" s="38" t="s">
        <v>1992</v>
      </c>
      <c r="B1770" s="38">
        <f>2^3*11</f>
        <v>88</v>
      </c>
      <c r="C1770" s="38">
        <f>7*13</f>
        <v>91</v>
      </c>
      <c r="D1770" s="13">
        <f t="shared" si="37"/>
        <v>58.035625873678946</v>
      </c>
      <c r="E1770" s="22">
        <v>13</v>
      </c>
      <c r="F1770" s="65">
        <v>37.32463182818482</v>
      </c>
      <c r="G1770" s="6">
        <v>357.1</v>
      </c>
      <c r="H1770" s="6">
        <v>334.1</v>
      </c>
      <c r="I1770" s="65">
        <v>-3.5734649203389326</v>
      </c>
      <c r="J1770" s="6">
        <f>VLOOKUP($D1770,Sheet1!$A$5:$C$192,3,TRUE)</f>
        <v>11</v>
      </c>
      <c r="K1770" s="42" t="str">
        <f>VLOOKUP($D1770,Sheet1!$A$5:$C$192,2,TRUE)</f>
        <v>(|)</v>
      </c>
      <c r="L1770" s="6">
        <f>FLOOR(VLOOKUP($D1770,Sheet1!$D$5:$F$192,3,TRUE),1)</f>
        <v>24</v>
      </c>
      <c r="M1770" s="42" t="str">
        <f>VLOOKUP($D1770,Sheet1!$D$5:$F$192,2,TRUE)</f>
        <v>|\)</v>
      </c>
      <c r="N1770" s="23">
        <f>FLOOR(VLOOKUP($D1770,Sheet1!$G$5:$I$192,3,TRUE),1)</f>
        <v>30</v>
      </c>
      <c r="O1770" s="42" t="str">
        <f>VLOOKUP($D1770,Sheet1!$G$5:$I$192,2,TRUE)</f>
        <v>.(|)</v>
      </c>
      <c r="P1770" s="23">
        <v>1</v>
      </c>
      <c r="Q1770" s="45" t="str">
        <f>VLOOKUP($D1770,Sheet1!$J$5:$L$192,2,TRUE)</f>
        <v>.(|).</v>
      </c>
      <c r="R1770" s="38">
        <f>FLOOR(VLOOKUP($D1770,Sheet1!$M$5:$O$192,3,TRUE),1)</f>
        <v>119</v>
      </c>
      <c r="S1770" s="45" t="str">
        <f>VLOOKUP($D1770,Sheet1!$M$5:$O$192,2,TRUE)</f>
        <v>.(|).</v>
      </c>
      <c r="T1770" s="112" t="str">
        <f>IF(ABS(D1770-VLOOKUP($D1770,Sheet1!$M$5:$T$192,8,TRUE))&lt;10^-10,"SoCA",D1770-VLOOKUP($D1770,Sheet1!$M$5:$T$192,8,TRUE))</f>
        <v>SoCA</v>
      </c>
      <c r="U1770" s="108">
        <f>IF(VLOOKUP($D1770,Sheet1!$M$5:$U$192,9,TRUE)=0,"",IF(ABS(D1770-VLOOKUP($D1770,Sheet1!$M$5:$U$192,9,TRUE))&lt;10^-10,"Alt.",D1770-VLOOKUP($D1770,Sheet1!$M$5:$U$192,9,TRUE)))</f>
        <v>-2.6960295202137274E-2</v>
      </c>
      <c r="V1770" s="133">
        <f>$D1770-Sheet1!$M$3*$R1770</f>
        <v>-2.6673357512983387E-2</v>
      </c>
    </row>
    <row r="1771" spans="1:22" ht="13.5">
      <c r="A1771" s="23" t="s">
        <v>223</v>
      </c>
      <c r="B1771" s="23">
        <f>3*7^2</f>
        <v>147</v>
      </c>
      <c r="C1771" s="23">
        <f>2^3*19</f>
        <v>152</v>
      </c>
      <c r="D1771" s="13">
        <f t="shared" si="37"/>
        <v>57.90620232866538</v>
      </c>
      <c r="E1771" s="61">
        <v>11</v>
      </c>
      <c r="F1771" s="65">
        <v>39.700049628994705</v>
      </c>
      <c r="G1771" s="6">
        <v>196</v>
      </c>
      <c r="H1771" s="6">
        <v>190</v>
      </c>
      <c r="I1771" s="65">
        <v>-1.1296032355440939</v>
      </c>
      <c r="J1771" s="6">
        <f>VLOOKUP($D1771,Sheet1!$A$5:$C$192,3,TRUE)</f>
        <v>11</v>
      </c>
      <c r="K1771" s="42" t="str">
        <f>VLOOKUP($D1771,Sheet1!$A$5:$C$192,2,TRUE)</f>
        <v>(|)</v>
      </c>
      <c r="L1771" s="6">
        <f>FLOOR(VLOOKUP($D1771,Sheet1!$D$5:$F$192,3,TRUE),1)</f>
        <v>24</v>
      </c>
      <c r="M1771" s="42" t="str">
        <f>VLOOKUP($D1771,Sheet1!$D$5:$F$192,2,TRUE)</f>
        <v>|\)</v>
      </c>
      <c r="N1771" s="23">
        <f>FLOOR(VLOOKUP($D1771,Sheet1!$G$5:$I$192,3,TRUE),1)</f>
        <v>30</v>
      </c>
      <c r="O1771" s="42" t="str">
        <f>VLOOKUP($D1771,Sheet1!$G$5:$I$192,2,TRUE)</f>
        <v>.(|)</v>
      </c>
      <c r="P1771" s="23">
        <v>1</v>
      </c>
      <c r="Q1771" s="43" t="str">
        <f>VLOOKUP($D1771,Sheet1!$J$5:$L$192,2,TRUE)</f>
        <v>.(|).</v>
      </c>
      <c r="R1771" s="23">
        <f>FLOOR(VLOOKUP($D1771,Sheet1!$M$5:$O$192,3,TRUE),1)</f>
        <v>119</v>
      </c>
      <c r="S1771" s="43" t="str">
        <f>VLOOKUP($D1771,Sheet1!$M$5:$O$192,2,TRUE)</f>
        <v>.(|).</v>
      </c>
      <c r="T1771" s="117">
        <f>IF(ABS(D1771-VLOOKUP($D1771,Sheet1!$M$5:$T$192,8,TRUE))&lt;10^-10,"SoCA",D1771-VLOOKUP($D1771,Sheet1!$M$5:$T$192,8,TRUE))</f>
        <v>-0.12942354501326747</v>
      </c>
      <c r="U1771" s="117">
        <f>IF(VLOOKUP($D1771,Sheet1!$M$5:$U$192,9,TRUE)=0,"",IF(ABS(D1771-VLOOKUP($D1771,Sheet1!$M$5:$U$192,9,TRUE))&lt;10^-10,"Alt.",D1771-VLOOKUP($D1771,Sheet1!$M$5:$U$192,9,TRUE)))</f>
        <v>-0.15638384021570317</v>
      </c>
      <c r="V1771" s="132">
        <f>$D1771-Sheet1!$M$3*$R1771</f>
        <v>-0.15609690252654929</v>
      </c>
    </row>
    <row r="1772" spans="1:22" ht="13.5">
      <c r="A1772" s="23" t="s">
        <v>1996</v>
      </c>
      <c r="B1772" s="21">
        <f>3^2*13</f>
        <v>117</v>
      </c>
      <c r="C1772" s="21">
        <f>11^2</f>
        <v>121</v>
      </c>
      <c r="D1772" s="13">
        <f t="shared" si="37"/>
        <v>58.198221229428157</v>
      </c>
      <c r="E1772" s="22">
        <v>13</v>
      </c>
      <c r="F1772" s="65">
        <v>42.518147126758691</v>
      </c>
      <c r="G1772" s="6">
        <v>1188</v>
      </c>
      <c r="H1772" s="6">
        <v>1131</v>
      </c>
      <c r="I1772" s="92">
        <v>0.47825174328465514</v>
      </c>
      <c r="J1772" s="6">
        <f>VLOOKUP($D1772,Sheet1!$A$5:$C$192,3,TRUE)</f>
        <v>11</v>
      </c>
      <c r="K1772" s="42" t="str">
        <f>VLOOKUP($D1772,Sheet1!$A$5:$C$192,2,TRUE)</f>
        <v>(|)</v>
      </c>
      <c r="L1772" s="6">
        <f>FLOOR(VLOOKUP($D1772,Sheet1!$D$5:$F$192,3,TRUE),1)</f>
        <v>24</v>
      </c>
      <c r="M1772" s="42" t="str">
        <f>VLOOKUP($D1772,Sheet1!$D$5:$F$192,2,TRUE)</f>
        <v>|\)</v>
      </c>
      <c r="N1772" s="23">
        <f>FLOOR(VLOOKUP($D1772,Sheet1!$G$5:$I$192,3,TRUE),1)</f>
        <v>30</v>
      </c>
      <c r="O1772" s="42" t="str">
        <f>VLOOKUP($D1772,Sheet1!$G$5:$I$192,2,TRUE)</f>
        <v>.(|)</v>
      </c>
      <c r="P1772" s="23">
        <v>1</v>
      </c>
      <c r="Q1772" s="43" t="str">
        <f>VLOOKUP($D1772,Sheet1!$J$5:$L$192,2,TRUE)</f>
        <v>.(|).</v>
      </c>
      <c r="R1772" s="23">
        <f>FLOOR(VLOOKUP($D1772,Sheet1!$M$5:$O$192,3,TRUE),1)</f>
        <v>119</v>
      </c>
      <c r="S1772" s="43" t="str">
        <f>VLOOKUP($D1772,Sheet1!$M$5:$O$192,2,TRUE)</f>
        <v>.(|).</v>
      </c>
      <c r="T1772" s="117">
        <f>IF(ABS(D1772-VLOOKUP($D1772,Sheet1!$M$5:$T$192,8,TRUE))&lt;10^-10,"SoCA",D1772-VLOOKUP($D1772,Sheet1!$M$5:$T$192,8,TRUE))</f>
        <v>0.16259535574950945</v>
      </c>
      <c r="U1772" s="117">
        <f>IF(VLOOKUP($D1772,Sheet1!$M$5:$U$192,9,TRUE)=0,"",IF(ABS(D1772-VLOOKUP($D1772,Sheet1!$M$5:$U$192,9,TRUE))&lt;10^-10,"Alt.",D1772-VLOOKUP($D1772,Sheet1!$M$5:$U$192,9,TRUE)))</f>
        <v>0.13563506054707375</v>
      </c>
      <c r="V1772" s="132">
        <f>$D1772-Sheet1!$M$3*$R1772</f>
        <v>0.13592199823622764</v>
      </c>
    </row>
    <row r="1773" spans="1:22" ht="13.5">
      <c r="A1773" s="6" t="s">
        <v>2082</v>
      </c>
      <c r="B1773" s="21">
        <f>2^11*7</f>
        <v>14336</v>
      </c>
      <c r="C1773" s="21">
        <f>3^5*61</f>
        <v>14823</v>
      </c>
      <c r="D1773" s="13">
        <f t="shared" si="37"/>
        <v>57.833902933275589</v>
      </c>
      <c r="E1773" s="61" t="s">
        <v>1931</v>
      </c>
      <c r="F1773" s="65">
        <v>68.407333729542671</v>
      </c>
      <c r="G1773" s="6">
        <v>211.1</v>
      </c>
      <c r="H1773" s="6">
        <v>191.1</v>
      </c>
      <c r="I1773" s="65">
        <v>1.4389558960183861</v>
      </c>
      <c r="J1773" s="6">
        <f>VLOOKUP($D1773,Sheet1!$A$5:$C$192,3,TRUE)</f>
        <v>11</v>
      </c>
      <c r="K1773" s="42" t="str">
        <f>VLOOKUP($D1773,Sheet1!$A$5:$C$192,2,TRUE)</f>
        <v>(|)</v>
      </c>
      <c r="L1773" s="6">
        <f>FLOOR(VLOOKUP($D1773,Sheet1!$D$5:$F$192,3,TRUE),1)</f>
        <v>24</v>
      </c>
      <c r="M1773" s="42" t="str">
        <f>VLOOKUP($D1773,Sheet1!$D$5:$F$192,2,TRUE)</f>
        <v>|\)</v>
      </c>
      <c r="N1773" s="23">
        <f>FLOOR(VLOOKUP($D1773,Sheet1!$G$5:$I$192,3,TRUE),1)</f>
        <v>30</v>
      </c>
      <c r="O1773" s="42" t="str">
        <f>VLOOKUP($D1773,Sheet1!$G$5:$I$192,2,TRUE)</f>
        <v>.(|)</v>
      </c>
      <c r="P1773" s="23">
        <v>1</v>
      </c>
      <c r="Q1773" s="43" t="str">
        <f>VLOOKUP($D1773,Sheet1!$J$5:$L$192,2,TRUE)</f>
        <v>.(|).</v>
      </c>
      <c r="R1773" s="23">
        <f>FLOOR(VLOOKUP($D1773,Sheet1!$M$5:$O$192,3,TRUE),1)</f>
        <v>119</v>
      </c>
      <c r="S1773" s="42" t="str">
        <f>VLOOKUP($D1773,Sheet1!$M$5:$O$192,2,TRUE)</f>
        <v>.(|).</v>
      </c>
      <c r="T1773" s="117">
        <f>IF(ABS(D1773-VLOOKUP($D1773,Sheet1!$M$5:$T$192,8,TRUE))&lt;10^-10,"SoCA",D1773-VLOOKUP($D1773,Sheet1!$M$5:$T$192,8,TRUE))</f>
        <v>-0.20172294040305871</v>
      </c>
      <c r="U1773" s="109">
        <f>IF(VLOOKUP($D1773,Sheet1!$M$5:$U$192,9,TRUE)=0,"",IF(ABS(D1773-VLOOKUP($D1773,Sheet1!$M$5:$U$192,9,TRUE))&lt;10^-10,"Alt.",D1773-VLOOKUP($D1773,Sheet1!$M$5:$U$192,9,TRUE)))</f>
        <v>-0.22868323560549442</v>
      </c>
      <c r="V1773" s="132">
        <f>$D1773-Sheet1!$M$3*$R1773</f>
        <v>-0.22839629791634053</v>
      </c>
    </row>
    <row r="1774" spans="1:22" ht="13.5">
      <c r="A1774" s="23" t="s">
        <v>1997</v>
      </c>
      <c r="B1774" s="21">
        <f>2^17*13*19</f>
        <v>32374784</v>
      </c>
      <c r="C1774" s="21">
        <f>3^14*7</f>
        <v>33480783</v>
      </c>
      <c r="D1774" s="13">
        <f t="shared" si="37"/>
        <v>58.155240682935457</v>
      </c>
      <c r="E1774" s="22">
        <v>19</v>
      </c>
      <c r="F1774" s="65">
        <v>228.90201747942064</v>
      </c>
      <c r="G1774" s="6">
        <v>1395.1</v>
      </c>
      <c r="H1774" s="6">
        <v>1595.1</v>
      </c>
      <c r="I1774" s="92">
        <v>14.044930068760879</v>
      </c>
      <c r="J1774" s="6">
        <f>VLOOKUP($D1774,Sheet1!$A$5:$C$192,3,TRUE)</f>
        <v>11</v>
      </c>
      <c r="K1774" s="42" t="str">
        <f>VLOOKUP($D1774,Sheet1!$A$5:$C$192,2,TRUE)</f>
        <v>(|)</v>
      </c>
      <c r="L1774" s="6">
        <f>FLOOR(VLOOKUP($D1774,Sheet1!$D$5:$F$192,3,TRUE),1)</f>
        <v>24</v>
      </c>
      <c r="M1774" s="42" t="str">
        <f>VLOOKUP($D1774,Sheet1!$D$5:$F$192,2,TRUE)</f>
        <v>|\)</v>
      </c>
      <c r="N1774" s="23">
        <f>FLOOR(VLOOKUP($D1774,Sheet1!$G$5:$I$192,3,TRUE),1)</f>
        <v>30</v>
      </c>
      <c r="O1774" s="42" t="str">
        <f>VLOOKUP($D1774,Sheet1!$G$5:$I$192,2,TRUE)</f>
        <v>.(|)</v>
      </c>
      <c r="P1774" s="23">
        <v>1</v>
      </c>
      <c r="Q1774" s="43" t="str">
        <f>VLOOKUP($D1774,Sheet1!$J$5:$L$192,2,TRUE)</f>
        <v>.(|).</v>
      </c>
      <c r="R1774" s="23">
        <f>FLOOR(VLOOKUP($D1774,Sheet1!$M$5:$O$192,3,TRUE),1)</f>
        <v>119</v>
      </c>
      <c r="S1774" s="43" t="str">
        <f>VLOOKUP($D1774,Sheet1!$M$5:$O$192,2,TRUE)</f>
        <v>.(|).</v>
      </c>
      <c r="T1774" s="117">
        <f>IF(ABS(D1774-VLOOKUP($D1774,Sheet1!$M$5:$T$192,8,TRUE))&lt;10^-10,"SoCA",D1774-VLOOKUP($D1774,Sheet1!$M$5:$T$192,8,TRUE))</f>
        <v>0.11961480925680945</v>
      </c>
      <c r="U1774" s="117">
        <f>IF(VLOOKUP($D1774,Sheet1!$M$5:$U$192,9,TRUE)=0,"",IF(ABS(D1774-VLOOKUP($D1774,Sheet1!$M$5:$U$192,9,TRUE))&lt;10^-10,"Alt.",D1774-VLOOKUP($D1774,Sheet1!$M$5:$U$192,9,TRUE)))</f>
        <v>9.2654514054373749E-2</v>
      </c>
      <c r="V1774" s="132">
        <f>$D1774-Sheet1!$M$3*$R1774</f>
        <v>9.2941451743527637E-2</v>
      </c>
    </row>
    <row r="1775" spans="1:22" ht="13.5">
      <c r="A1775" s="48" t="s">
        <v>224</v>
      </c>
      <c r="B1775" s="48">
        <f>3^2*5*11</f>
        <v>495</v>
      </c>
      <c r="C1775" s="54">
        <f>2^9</f>
        <v>512</v>
      </c>
      <c r="D1775" s="13">
        <f t="shared" si="37"/>
        <v>58.458342039633642</v>
      </c>
      <c r="E1775" s="61">
        <v>11</v>
      </c>
      <c r="F1775" s="65">
        <v>22.819026333836156</v>
      </c>
      <c r="G1775" s="6">
        <v>45</v>
      </c>
      <c r="H1775" s="6">
        <v>44</v>
      </c>
      <c r="I1775" s="65">
        <v>-5.5994930947156023</v>
      </c>
      <c r="J1775" s="6">
        <f>VLOOKUP($D1775,Sheet1!$A$5:$C$192,3,TRUE)</f>
        <v>11</v>
      </c>
      <c r="K1775" s="42" t="str">
        <f>VLOOKUP($D1775,Sheet1!$A$5:$C$192,2,TRUE)</f>
        <v>(|)</v>
      </c>
      <c r="L1775" s="6">
        <f>FLOOR(VLOOKUP($D1775,Sheet1!$D$5:$F$192,3,TRUE),1)</f>
        <v>24</v>
      </c>
      <c r="M1775" s="42" t="str">
        <f>VLOOKUP($D1775,Sheet1!$D$5:$F$192,2,TRUE)</f>
        <v>|\)</v>
      </c>
      <c r="N1775" s="39">
        <f>FLOOR(VLOOKUP($D1775,Sheet1!$G$5:$I$192,3,TRUE),1)</f>
        <v>30</v>
      </c>
      <c r="O1775" s="44" t="str">
        <f>VLOOKUP($D1775,Sheet1!$G$5:$I$192,2,TRUE)</f>
        <v>.(|)</v>
      </c>
      <c r="P1775" s="39">
        <v>1</v>
      </c>
      <c r="Q1775" s="44" t="str">
        <f>VLOOKUP($D1775,Sheet1!$J$5:$L$192,2,TRUE)</f>
        <v>.(|)</v>
      </c>
      <c r="R1775" s="39">
        <f>FLOOR(VLOOKUP($D1775,Sheet1!$M$5:$O$192,3,TRUE),1)</f>
        <v>120</v>
      </c>
      <c r="S1775" s="44" t="str">
        <f>VLOOKUP($D1775,Sheet1!$M$5:$O$192,2,TRUE)</f>
        <v>.(|)</v>
      </c>
      <c r="T1775" s="113" t="str">
        <f>IF(ABS(D1775-VLOOKUP($D1775,Sheet1!$M$5:$T$192,8,TRUE))&lt;10^-10,"SoCA",D1775-VLOOKUP($D1775,Sheet1!$M$5:$T$192,8,TRUE))</f>
        <v>SoCA</v>
      </c>
      <c r="U1775" s="118" t="str">
        <f>IF(VLOOKUP($D1775,Sheet1!$M$5:$U$192,9,TRUE)=0,"",IF(ABS(D1775-VLOOKUP($D1775,Sheet1!$M$5:$U$192,9,TRUE))&lt;10^-10,"Alt.",D1775-VLOOKUP($D1775,Sheet1!$M$5:$U$192,9,TRUE)))</f>
        <v/>
      </c>
      <c r="V1775" s="136">
        <f>$D1775-Sheet1!$M$3*$R1775</f>
        <v>-9.187567249266948E-2</v>
      </c>
    </row>
    <row r="1776" spans="1:22" ht="13.5">
      <c r="A1776" s="21" t="s">
        <v>226</v>
      </c>
      <c r="B1776" s="21">
        <f>29</f>
        <v>29</v>
      </c>
      <c r="C1776" s="21">
        <f>2*3*5</f>
        <v>30</v>
      </c>
      <c r="D1776" s="13">
        <f t="shared" si="37"/>
        <v>58.691520577135805</v>
      </c>
      <c r="E1776" s="61">
        <v>29</v>
      </c>
      <c r="F1776" s="65">
        <v>34.080386509169323</v>
      </c>
      <c r="G1776" s="6">
        <v>95</v>
      </c>
      <c r="H1776" s="6">
        <v>88</v>
      </c>
      <c r="I1776" s="65">
        <v>-2.6138507467852738</v>
      </c>
      <c r="J1776" s="6">
        <f>VLOOKUP($D1776,Sheet1!$A$5:$C$192,3,TRUE)</f>
        <v>11</v>
      </c>
      <c r="K1776" s="42" t="str">
        <f>VLOOKUP($D1776,Sheet1!$A$5:$C$192,2,TRUE)</f>
        <v>(|)</v>
      </c>
      <c r="L1776" s="6">
        <f>FLOOR(VLOOKUP($D1776,Sheet1!$D$5:$F$192,3,TRUE),1)</f>
        <v>24</v>
      </c>
      <c r="M1776" s="42" t="str">
        <f>VLOOKUP($D1776,Sheet1!$D$5:$F$192,2,TRUE)</f>
        <v>|\)</v>
      </c>
      <c r="N1776" s="23">
        <f>FLOOR(VLOOKUP($D1776,Sheet1!$G$5:$I$192,3,TRUE),1)</f>
        <v>30</v>
      </c>
      <c r="O1776" s="42" t="str">
        <f>VLOOKUP($D1776,Sheet1!$G$5:$I$192,2,TRUE)</f>
        <v>|\)</v>
      </c>
      <c r="P1776" s="23">
        <v>1</v>
      </c>
      <c r="Q1776" s="43" t="str">
        <f>VLOOKUP($D1776,Sheet1!$J$5:$L$192,2,TRUE)</f>
        <v>|\).</v>
      </c>
      <c r="R1776" s="23">
        <f>FLOOR(VLOOKUP($D1776,Sheet1!$M$5:$O$192,3,TRUE),1)</f>
        <v>120</v>
      </c>
      <c r="S1776" s="43" t="str">
        <f>VLOOKUP($D1776,Sheet1!$M$5:$O$192,2,TRUE)</f>
        <v>|\).</v>
      </c>
      <c r="T1776" s="117">
        <f>IF(ABS(D1776-VLOOKUP($D1776,Sheet1!$M$5:$T$192,8,TRUE))&lt;10^-10,"SoCA",D1776-VLOOKUP($D1776,Sheet1!$M$5:$T$192,8,TRUE))</f>
        <v>-4.2585714420816601E-2</v>
      </c>
      <c r="U1776" s="117">
        <f>IF(VLOOKUP($D1776,Sheet1!$M$5:$U$192,9,TRUE)=0,"",IF(ABS(D1776-VLOOKUP($D1776,Sheet1!$M$5:$U$192,9,TRUE))&lt;10^-10,"Alt.",D1776-VLOOKUP($D1776,Sheet1!$M$5:$U$192,9,TRUE)))</f>
        <v>-6.9546009623252303E-2</v>
      </c>
      <c r="V1776" s="132">
        <f>$D1776-Sheet1!$M$3*$R1776</f>
        <v>0.14130286500949296</v>
      </c>
    </row>
    <row r="1777" spans="1:22" ht="13.5">
      <c r="A1777" s="87" t="s">
        <v>1922</v>
      </c>
      <c r="B1777" s="87">
        <f>2^16</f>
        <v>65536</v>
      </c>
      <c r="C1777" s="87">
        <f>3^7*31</f>
        <v>67797</v>
      </c>
      <c r="D1777" s="13">
        <f t="shared" si="37"/>
        <v>58.720578521962175</v>
      </c>
      <c r="E1777" s="61">
        <v>31</v>
      </c>
      <c r="F1777" s="65">
        <v>38.537051522395053</v>
      </c>
      <c r="G1777" s="6">
        <v>48.1</v>
      </c>
      <c r="H1777" s="6">
        <v>46.1</v>
      </c>
      <c r="I1777" s="65">
        <v>3.3843600496879098</v>
      </c>
      <c r="J1777" s="6">
        <f>VLOOKUP($D1777,Sheet1!$A$5:$C$192,3,TRUE)</f>
        <v>11</v>
      </c>
      <c r="K1777" s="42" t="str">
        <f>VLOOKUP($D1777,Sheet1!$A$5:$C$192,2,TRUE)</f>
        <v>(|)</v>
      </c>
      <c r="L1777" s="6">
        <f>FLOOR(VLOOKUP($D1777,Sheet1!$D$5:$F$192,3,TRUE),1)</f>
        <v>24</v>
      </c>
      <c r="M1777" s="42" t="str">
        <f>VLOOKUP($D1777,Sheet1!$D$5:$F$192,2,TRUE)</f>
        <v>|\)</v>
      </c>
      <c r="N1777" s="23">
        <f>FLOOR(VLOOKUP($D1777,Sheet1!$G$5:$I$192,3,TRUE),1)</f>
        <v>30</v>
      </c>
      <c r="O1777" s="42" t="str">
        <f>VLOOKUP($D1777,Sheet1!$G$5:$I$192,2,TRUE)</f>
        <v>|\)</v>
      </c>
      <c r="P1777" s="23">
        <v>1</v>
      </c>
      <c r="Q1777" s="45" t="str">
        <f>VLOOKUP($D1777,Sheet1!$J$5:$L$192,2,TRUE)</f>
        <v>|\).</v>
      </c>
      <c r="R1777" s="38">
        <f>FLOOR(VLOOKUP($D1777,Sheet1!$M$5:$O$192,3,TRUE),1)</f>
        <v>120</v>
      </c>
      <c r="S1777" s="45" t="str">
        <f>VLOOKUP($D1777,Sheet1!$M$5:$O$192,2,TRUE)</f>
        <v>|\).</v>
      </c>
      <c r="T1777" s="108">
        <f>IF(ABS(D1777-VLOOKUP($D1777,Sheet1!$M$5:$T$192,8,TRUE))&lt;10^-10,"SoCA",D1777-VLOOKUP($D1777,Sheet1!$M$5:$T$192,8,TRUE))</f>
        <v>-1.3527769594446681E-2</v>
      </c>
      <c r="U1777" s="108">
        <f>IF(VLOOKUP($D1777,Sheet1!$M$5:$U$192,9,TRUE)=0,"",IF(ABS(D1777-VLOOKUP($D1777,Sheet1!$M$5:$U$192,9,TRUE))&lt;10^-10,"Alt.",D1777-VLOOKUP($D1777,Sheet1!$M$5:$U$192,9,TRUE)))</f>
        <v>-4.0488064796882384E-2</v>
      </c>
      <c r="V1777" s="132">
        <f>$D1777-Sheet1!$M$3*$R1777</f>
        <v>0.17036080983586288</v>
      </c>
    </row>
    <row r="1778" spans="1:22" ht="13.5">
      <c r="A1778" s="6" t="s">
        <v>1994</v>
      </c>
      <c r="B1778" s="14">
        <f>2^9*13</f>
        <v>6656</v>
      </c>
      <c r="C1778" s="14">
        <f>3^4*5*17</f>
        <v>6885</v>
      </c>
      <c r="D1778" s="13">
        <f t="shared" si="37"/>
        <v>58.561465057481279</v>
      </c>
      <c r="E1778" s="22">
        <v>17</v>
      </c>
      <c r="F1778" s="65">
        <v>42.172688911361845</v>
      </c>
      <c r="G1778" s="14">
        <v>467.1</v>
      </c>
      <c r="H1778" s="14">
        <v>399.1</v>
      </c>
      <c r="I1778" s="65">
        <v>0.39415724537790986</v>
      </c>
      <c r="J1778" s="6">
        <f>VLOOKUP($D1778,Sheet1!$A$5:$C$192,3,TRUE)</f>
        <v>11</v>
      </c>
      <c r="K1778" s="42" t="str">
        <f>VLOOKUP($D1778,Sheet1!$A$5:$C$192,2,TRUE)</f>
        <v>(|)</v>
      </c>
      <c r="L1778" s="6">
        <f>FLOOR(VLOOKUP($D1778,Sheet1!$D$5:$F$192,3,TRUE),1)</f>
        <v>24</v>
      </c>
      <c r="M1778" s="42" t="str">
        <f>VLOOKUP($D1778,Sheet1!$D$5:$F$192,2,TRUE)</f>
        <v>|\)</v>
      </c>
      <c r="N1778" s="23">
        <f>FLOOR(VLOOKUP($D1778,Sheet1!$G$5:$I$192,3,TRUE),1)</f>
        <v>30</v>
      </c>
      <c r="O1778" s="42" t="str">
        <f>VLOOKUP($D1778,Sheet1!$G$5:$I$192,2,TRUE)</f>
        <v>.(|)</v>
      </c>
      <c r="P1778" s="23">
        <v>1</v>
      </c>
      <c r="Q1778" s="43" t="str">
        <f>VLOOKUP($D1778,Sheet1!$J$5:$L$192,2,TRUE)</f>
        <v>.(|)</v>
      </c>
      <c r="R1778" s="23">
        <f>FLOOR(VLOOKUP($D1778,Sheet1!$M$5:$O$192,3,TRUE),1)</f>
        <v>120</v>
      </c>
      <c r="S1778" s="42" t="str">
        <f>VLOOKUP($D1778,Sheet1!$M$5:$O$192,2,TRUE)</f>
        <v>.(|)</v>
      </c>
      <c r="T1778" s="117">
        <f>IF(ABS(D1778-VLOOKUP($D1778,Sheet1!$M$5:$T$192,8,TRUE))&lt;10^-10,"SoCA",D1778-VLOOKUP($D1778,Sheet1!$M$5:$T$192,8,TRUE))</f>
        <v>0.10312301784780686</v>
      </c>
      <c r="U1778" s="109" t="str">
        <f>IF(VLOOKUP($D1778,Sheet1!$M$5:$U$192,9,TRUE)=0,"",IF(ABS(D1778-VLOOKUP($D1778,Sheet1!$M$5:$U$192,9,TRUE))&lt;10^-10,"Alt.",D1778-VLOOKUP($D1778,Sheet1!$M$5:$U$192,9,TRUE)))</f>
        <v/>
      </c>
      <c r="V1778" s="132">
        <f>$D1778-Sheet1!$M$3*$R1778</f>
        <v>1.1247345354966853E-2</v>
      </c>
    </row>
    <row r="1779" spans="1:22" ht="13.5">
      <c r="A1779" s="6" t="s">
        <v>2083</v>
      </c>
      <c r="B1779" s="6">
        <f>2^4*31</f>
        <v>496</v>
      </c>
      <c r="C1779" s="6">
        <f>3^3*19</f>
        <v>513</v>
      </c>
      <c r="D1779" s="13">
        <f t="shared" si="37"/>
        <v>58.342446264214459</v>
      </c>
      <c r="E1779" s="61">
        <v>31</v>
      </c>
      <c r="F1779" s="65">
        <v>50.103765907078575</v>
      </c>
      <c r="G1779" s="6">
        <v>208</v>
      </c>
      <c r="H1779" s="6">
        <v>179</v>
      </c>
      <c r="I1779" s="65">
        <v>-0.59235696959174522</v>
      </c>
      <c r="J1779" s="6">
        <f>VLOOKUP($D1779,Sheet1!$A$5:$C$192,3,TRUE)</f>
        <v>11</v>
      </c>
      <c r="K1779" s="42" t="str">
        <f>VLOOKUP($D1779,Sheet1!$A$5:$C$192,2,TRUE)</f>
        <v>(|)</v>
      </c>
      <c r="L1779" s="6">
        <f>FLOOR(VLOOKUP($D1779,Sheet1!$D$5:$F$192,3,TRUE),1)</f>
        <v>24</v>
      </c>
      <c r="M1779" s="42" t="str">
        <f>VLOOKUP($D1779,Sheet1!$D$5:$F$192,2,TRUE)</f>
        <v>|\)</v>
      </c>
      <c r="N1779" s="23">
        <f>FLOOR(VLOOKUP($D1779,Sheet1!$G$5:$I$192,3,TRUE),1)</f>
        <v>30</v>
      </c>
      <c r="O1779" s="42" t="str">
        <f>VLOOKUP($D1779,Sheet1!$G$5:$I$192,2,TRUE)</f>
        <v>.(|)</v>
      </c>
      <c r="P1779" s="23">
        <v>1</v>
      </c>
      <c r="Q1779" s="43" t="str">
        <f>VLOOKUP($D1779,Sheet1!$J$5:$L$192,2,TRUE)</f>
        <v>.(|)</v>
      </c>
      <c r="R1779" s="23">
        <f>FLOOR(VLOOKUP($D1779,Sheet1!$M$5:$O$192,3,TRUE),1)</f>
        <v>120</v>
      </c>
      <c r="S1779" s="42" t="str">
        <f>VLOOKUP($D1779,Sheet1!$M$5:$O$192,2,TRUE)</f>
        <v>.(|)</v>
      </c>
      <c r="T1779" s="117">
        <f>IF(ABS(D1779-VLOOKUP($D1779,Sheet1!$M$5:$T$192,8,TRUE))&lt;10^-10,"SoCA",D1779-VLOOKUP($D1779,Sheet1!$M$5:$T$192,8,TRUE))</f>
        <v>-0.11589577541901264</v>
      </c>
      <c r="U1779" s="109" t="str">
        <f>IF(VLOOKUP($D1779,Sheet1!$M$5:$U$192,9,TRUE)=0,"",IF(ABS(D1779-VLOOKUP($D1779,Sheet1!$M$5:$U$192,9,TRUE))&lt;10^-10,"Alt.",D1779-VLOOKUP($D1779,Sheet1!$M$5:$U$192,9,TRUE)))</f>
        <v/>
      </c>
      <c r="V1779" s="132">
        <f>$D1779-Sheet1!$M$3*$R1779</f>
        <v>-0.20777144791185265</v>
      </c>
    </row>
    <row r="1780" spans="1:22" ht="13.5">
      <c r="A1780" s="6" t="s">
        <v>1993</v>
      </c>
      <c r="B1780" s="18">
        <f>2^18*7^2</f>
        <v>12845056</v>
      </c>
      <c r="C1780" s="18">
        <f>3^12*5^2</f>
        <v>13286025</v>
      </c>
      <c r="D1780" s="13">
        <f t="shared" si="37"/>
        <v>58.435625176068683</v>
      </c>
      <c r="E1780" s="22">
        <v>7</v>
      </c>
      <c r="F1780" s="65">
        <v>63.905084144595513</v>
      </c>
      <c r="G1780" s="14">
        <v>62.1</v>
      </c>
      <c r="H1780" s="14">
        <v>73.099999999999994</v>
      </c>
      <c r="I1780" s="65">
        <v>8.4019056653361321</v>
      </c>
      <c r="J1780" s="6">
        <f>VLOOKUP($D1780,Sheet1!$A$5:$C$192,3,TRUE)</f>
        <v>11</v>
      </c>
      <c r="K1780" s="42" t="str">
        <f>VLOOKUP($D1780,Sheet1!$A$5:$C$192,2,TRUE)</f>
        <v>(|)</v>
      </c>
      <c r="L1780" s="6">
        <f>FLOOR(VLOOKUP($D1780,Sheet1!$D$5:$F$192,3,TRUE),1)</f>
        <v>24</v>
      </c>
      <c r="M1780" s="42" t="str">
        <f>VLOOKUP($D1780,Sheet1!$D$5:$F$192,2,TRUE)</f>
        <v>|\)</v>
      </c>
      <c r="N1780" s="23">
        <f>FLOOR(VLOOKUP($D1780,Sheet1!$G$5:$I$192,3,TRUE),1)</f>
        <v>30</v>
      </c>
      <c r="O1780" s="42" t="str">
        <f>VLOOKUP($D1780,Sheet1!$G$5:$I$192,2,TRUE)</f>
        <v>.(|)</v>
      </c>
      <c r="P1780" s="23">
        <v>1</v>
      </c>
      <c r="Q1780" s="43" t="str">
        <f>VLOOKUP($D1780,Sheet1!$J$5:$L$192,2,TRUE)</f>
        <v>.(|)</v>
      </c>
      <c r="R1780" s="23">
        <f>FLOOR(VLOOKUP($D1780,Sheet1!$M$5:$O$192,3,TRUE),1)</f>
        <v>120</v>
      </c>
      <c r="S1780" s="42" t="str">
        <f>VLOOKUP($D1780,Sheet1!$M$5:$O$192,2,TRUE)</f>
        <v>.(|)</v>
      </c>
      <c r="T1780" s="117">
        <f>IF(ABS(D1780-VLOOKUP($D1780,Sheet1!$M$5:$T$192,8,TRUE))&lt;10^-10,"SoCA",D1780-VLOOKUP($D1780,Sheet1!$M$5:$T$192,8,TRUE))</f>
        <v>-2.2716863564788525E-2</v>
      </c>
      <c r="U1780" s="109" t="str">
        <f>IF(VLOOKUP($D1780,Sheet1!$M$5:$U$192,9,TRUE)=0,"",IF(ABS(D1780-VLOOKUP($D1780,Sheet1!$M$5:$U$192,9,TRUE))&lt;10^-10,"Alt.",D1780-VLOOKUP($D1780,Sheet1!$M$5:$U$192,9,TRUE)))</f>
        <v/>
      </c>
      <c r="V1780" s="132">
        <f>$D1780-Sheet1!$M$3*$R1780</f>
        <v>-0.11459253605762854</v>
      </c>
    </row>
    <row r="1781" spans="1:22" ht="13.5">
      <c r="A1781" s="23" t="s">
        <v>227</v>
      </c>
      <c r="B1781" s="23">
        <f>3^5*7</f>
        <v>1701</v>
      </c>
      <c r="C1781" s="23">
        <f>2^5*5*11</f>
        <v>1760</v>
      </c>
      <c r="D1781" s="13">
        <f t="shared" si="37"/>
        <v>59.030745433529539</v>
      </c>
      <c r="E1781" s="61">
        <v>11</v>
      </c>
      <c r="F1781" s="65">
        <v>31.418493821337794</v>
      </c>
      <c r="G1781" s="6">
        <v>111</v>
      </c>
      <c r="H1781" s="6">
        <v>132</v>
      </c>
      <c r="I1781" s="65">
        <v>-8.6347380570568735</v>
      </c>
      <c r="J1781" s="6">
        <f>VLOOKUP($D1781,Sheet1!$A$5:$C$192,3,TRUE)</f>
        <v>11</v>
      </c>
      <c r="K1781" s="42" t="str">
        <f>VLOOKUP($D1781,Sheet1!$A$5:$C$192,2,TRUE)</f>
        <v>(|)</v>
      </c>
      <c r="L1781" s="6">
        <f>FLOOR(VLOOKUP($D1781,Sheet1!$D$5:$F$192,3,TRUE),1)</f>
        <v>24</v>
      </c>
      <c r="M1781" s="42" t="str">
        <f>VLOOKUP($D1781,Sheet1!$D$5:$F$192,2,TRUE)</f>
        <v>|\)</v>
      </c>
      <c r="N1781" s="23">
        <f>FLOOR(VLOOKUP($D1781,Sheet1!$G$5:$I$192,3,TRUE),1)</f>
        <v>30</v>
      </c>
      <c r="O1781" s="42" t="str">
        <f>VLOOKUP($D1781,Sheet1!$G$5:$I$192,2,TRUE)</f>
        <v>|\)</v>
      </c>
      <c r="P1781" s="23">
        <v>1</v>
      </c>
      <c r="Q1781" s="43" t="str">
        <f>VLOOKUP($D1781,Sheet1!$J$5:$L$192,2,TRUE)</f>
        <v>|\)</v>
      </c>
      <c r="R1781" s="23">
        <f>FLOOR(VLOOKUP($D1781,Sheet1!$M$5:$O$192,3,TRUE),1)</f>
        <v>121</v>
      </c>
      <c r="S1781" s="43" t="str">
        <f>VLOOKUP($D1781,Sheet1!$M$5:$O$192,2,TRUE)</f>
        <v>|\)</v>
      </c>
      <c r="T1781" s="117">
        <f>IF(ABS(D1781-VLOOKUP($D1781,Sheet1!$M$5:$T$192,8,TRUE))&lt;10^-10,"SoCA",D1781-VLOOKUP($D1781,Sheet1!$M$5:$T$192,8,TRUE))</f>
        <v>-0.12607702398190668</v>
      </c>
      <c r="U1781" s="117" t="str">
        <f>IF(VLOOKUP($D1781,Sheet1!$M$5:$U$192,9,TRUE)=0,"",IF(ABS(D1781-VLOOKUP($D1781,Sheet1!$M$5:$U$192,9,TRUE))&lt;10^-10,"Alt.",D1781-VLOOKUP($D1781,Sheet1!$M$5:$U$192,9,TRUE)))</f>
        <v/>
      </c>
      <c r="V1781" s="132">
        <f>$D1781-Sheet1!$M$3*$R1781</f>
        <v>-7.3907595311624164E-3</v>
      </c>
    </row>
    <row r="1782" spans="1:22" ht="13.5">
      <c r="A1782" s="107" t="s">
        <v>229</v>
      </c>
      <c r="B1782" s="94">
        <f>2^23</f>
        <v>8388608</v>
      </c>
      <c r="C1782" s="94">
        <f>3^11*7^2</f>
        <v>8680203</v>
      </c>
      <c r="D1782" s="51">
        <f t="shared" si="37"/>
        <v>59.156822457511446</v>
      </c>
      <c r="E1782" s="61">
        <v>7</v>
      </c>
      <c r="F1782" s="65">
        <v>36.540039830295704</v>
      </c>
      <c r="G1782" s="6">
        <v>22.1</v>
      </c>
      <c r="H1782" s="6">
        <v>25.1</v>
      </c>
      <c r="I1782" s="65">
        <v>7.3574989212529545</v>
      </c>
      <c r="J1782" s="6">
        <f>VLOOKUP($D1782,Sheet1!$A$5:$C$192,3,TRUE)</f>
        <v>11</v>
      </c>
      <c r="K1782" s="42" t="str">
        <f>VLOOKUP($D1782,Sheet1!$A$5:$C$192,2,TRUE)</f>
        <v>(|)</v>
      </c>
      <c r="L1782" s="34">
        <f>FLOOR(VLOOKUP($D1782,Sheet1!$D$5:$F$192,3,TRUE),1)</f>
        <v>24</v>
      </c>
      <c r="M1782" s="41" t="str">
        <f>VLOOKUP($D1782,Sheet1!$D$5:$F$192,2,TRUE)</f>
        <v>|\)</v>
      </c>
      <c r="N1782" s="34">
        <f>FLOOR(VLOOKUP($D1782,Sheet1!$G$5:$I$192,3,TRUE),1)</f>
        <v>30</v>
      </c>
      <c r="O1782" s="41" t="str">
        <f>VLOOKUP($D1782,Sheet1!$G$5:$I$192,2,TRUE)</f>
        <v>|\)</v>
      </c>
      <c r="P1782" s="34">
        <v>1</v>
      </c>
      <c r="Q1782" s="41" t="str">
        <f>VLOOKUP($D1782,Sheet1!$J$5:$L$192,2,TRUE)</f>
        <v>|\)</v>
      </c>
      <c r="R1782" s="34">
        <f>FLOOR(VLOOKUP($D1782,Sheet1!$M$5:$O$192,3,TRUE),1)</f>
        <v>121</v>
      </c>
      <c r="S1782" s="41" t="str">
        <f>VLOOKUP($D1782,Sheet1!$M$5:$O$192,2,TRUE)</f>
        <v>|\)</v>
      </c>
      <c r="T1782" s="114" t="str">
        <f>IF(ABS(D1782-VLOOKUP($D1782,Sheet1!$M$5:$T$192,8,TRUE))&lt;10^-10,"SoCA",D1782-VLOOKUP($D1782,Sheet1!$M$5:$T$192,8,TRUE))</f>
        <v>SoCA</v>
      </c>
      <c r="U1782" s="126" t="str">
        <f>IF(VLOOKUP($D1782,Sheet1!$M$5:$U$192,9,TRUE)=0,"",IF(ABS(D1782-VLOOKUP($D1782,Sheet1!$M$5:$U$192,9,TRUE))&lt;10^-10,"Alt.",D1782-VLOOKUP($D1782,Sheet1!$M$5:$U$192,9,TRUE)))</f>
        <v/>
      </c>
      <c r="V1782" s="137">
        <f>$D1782-Sheet1!$M$3*$R1782</f>
        <v>0.11868626445074426</v>
      </c>
    </row>
    <row r="1783" spans="1:22" ht="13.5">
      <c r="A1783" s="6" t="s">
        <v>1995</v>
      </c>
      <c r="B1783" s="14">
        <f>2^12*11*19</f>
        <v>856064</v>
      </c>
      <c r="C1783" s="14">
        <f>3^11*5</f>
        <v>885735</v>
      </c>
      <c r="D1783" s="13">
        <f t="shared" si="37"/>
        <v>58.987764887037002</v>
      </c>
      <c r="E1783" s="22">
        <v>19</v>
      </c>
      <c r="F1783" s="65">
        <v>64.073931280147121</v>
      </c>
      <c r="G1783" s="14">
        <v>918.1</v>
      </c>
      <c r="H1783" s="14">
        <v>994.1</v>
      </c>
      <c r="I1783" s="65">
        <v>7.3679084117773277</v>
      </c>
      <c r="J1783" s="6">
        <f>VLOOKUP($D1783,Sheet1!$A$5:$C$192,3,TRUE)</f>
        <v>11</v>
      </c>
      <c r="K1783" s="42" t="str">
        <f>VLOOKUP($D1783,Sheet1!$A$5:$C$192,2,TRUE)</f>
        <v>(|)</v>
      </c>
      <c r="L1783" s="6">
        <f>FLOOR(VLOOKUP($D1783,Sheet1!$D$5:$F$192,3,TRUE),1)</f>
        <v>24</v>
      </c>
      <c r="M1783" s="42" t="str">
        <f>VLOOKUP($D1783,Sheet1!$D$5:$F$192,2,TRUE)</f>
        <v>|\)</v>
      </c>
      <c r="N1783" s="23">
        <f>FLOOR(VLOOKUP($D1783,Sheet1!$G$5:$I$192,3,TRUE),1)</f>
        <v>30</v>
      </c>
      <c r="O1783" s="42" t="str">
        <f>VLOOKUP($D1783,Sheet1!$G$5:$I$192,2,TRUE)</f>
        <v>|\)</v>
      </c>
      <c r="P1783" s="23">
        <v>1</v>
      </c>
      <c r="Q1783" s="43" t="str">
        <f>VLOOKUP($D1783,Sheet1!$J$5:$L$192,2,TRUE)</f>
        <v>|\)</v>
      </c>
      <c r="R1783" s="23">
        <f>FLOOR(VLOOKUP($D1783,Sheet1!$M$5:$O$192,3,TRUE),1)</f>
        <v>121</v>
      </c>
      <c r="S1783" s="42" t="str">
        <f>VLOOKUP($D1783,Sheet1!$M$5:$O$192,2,TRUE)</f>
        <v>|\)</v>
      </c>
      <c r="T1783" s="117">
        <f>IF(ABS(D1783-VLOOKUP($D1783,Sheet1!$M$5:$T$192,8,TRUE))&lt;10^-10,"SoCA",D1783-VLOOKUP($D1783,Sheet1!$M$5:$T$192,8,TRUE))</f>
        <v>-0.16905757047444325</v>
      </c>
      <c r="U1783" s="109" t="str">
        <f>IF(VLOOKUP($D1783,Sheet1!$M$5:$U$192,9,TRUE)=0,"",IF(ABS(D1783-VLOOKUP($D1783,Sheet1!$M$5:$U$192,9,TRUE))&lt;10^-10,"Alt.",D1783-VLOOKUP($D1783,Sheet1!$M$5:$U$192,9,TRUE)))</f>
        <v/>
      </c>
      <c r="V1783" s="132">
        <f>$D1783-Sheet1!$M$3*$R1783</f>
        <v>-5.0371306023698992E-2</v>
      </c>
    </row>
    <row r="1784" spans="1:22" ht="13.5">
      <c r="A1784" s="6" t="s">
        <v>1778</v>
      </c>
      <c r="B1784" s="6">
        <f>2^10*3</f>
        <v>3072</v>
      </c>
      <c r="C1784" s="6">
        <f>11*17^2</f>
        <v>3179</v>
      </c>
      <c r="D1784" s="13">
        <f t="shared" si="37"/>
        <v>59.27376050018399</v>
      </c>
      <c r="E1784" s="61">
        <v>17</v>
      </c>
      <c r="F1784" s="65">
        <v>72.288214391616123</v>
      </c>
      <c r="G1784" s="6">
        <v>1095</v>
      </c>
      <c r="H1784" s="6">
        <v>1039</v>
      </c>
      <c r="I1784" s="65">
        <v>-4.6497013800628784</v>
      </c>
      <c r="J1784" s="6">
        <f>VLOOKUP($D1784,Sheet1!$A$5:$C$192,3,TRUE)</f>
        <v>11</v>
      </c>
      <c r="K1784" s="42" t="str">
        <f>VLOOKUP($D1784,Sheet1!$A$5:$C$192,2,TRUE)</f>
        <v>(|)</v>
      </c>
      <c r="L1784" s="6">
        <f>FLOOR(VLOOKUP($D1784,Sheet1!$D$5:$F$192,3,TRUE),1)</f>
        <v>24</v>
      </c>
      <c r="M1784" s="42" t="str">
        <f>VLOOKUP($D1784,Sheet1!$D$5:$F$192,2,TRUE)</f>
        <v>|\)</v>
      </c>
      <c r="N1784" s="23">
        <f>FLOOR(VLOOKUP($D1784,Sheet1!$G$5:$I$192,3,TRUE),1)</f>
        <v>30</v>
      </c>
      <c r="O1784" s="42" t="str">
        <f>VLOOKUP($D1784,Sheet1!$G$5:$I$192,2,TRUE)</f>
        <v>|\)</v>
      </c>
      <c r="P1784" s="23">
        <v>1</v>
      </c>
      <c r="Q1784" s="43" t="str">
        <f>VLOOKUP($D1784,Sheet1!$J$5:$L$192,2,TRUE)</f>
        <v>|\)</v>
      </c>
      <c r="R1784" s="23">
        <f>FLOOR(VLOOKUP($D1784,Sheet1!$M$5:$O$192,3,TRUE),1)</f>
        <v>121</v>
      </c>
      <c r="S1784" s="42" t="str">
        <f>VLOOKUP($D1784,Sheet1!$M$5:$O$192,2,TRUE)</f>
        <v>|\)</v>
      </c>
      <c r="T1784" s="117">
        <f>IF(ABS(D1784-VLOOKUP($D1784,Sheet1!$M$5:$T$192,8,TRUE))&lt;10^-10,"SoCA",D1784-VLOOKUP($D1784,Sheet1!$M$5:$T$192,8,TRUE))</f>
        <v>0.11693804267254393</v>
      </c>
      <c r="U1784" s="109" t="str">
        <f>IF(VLOOKUP($D1784,Sheet1!$M$5:$U$192,9,TRUE)=0,"",IF(ABS(D1784-VLOOKUP($D1784,Sheet1!$M$5:$U$192,9,TRUE))&lt;10^-10,"Alt.",D1784-VLOOKUP($D1784,Sheet1!$M$5:$U$192,9,TRUE)))</f>
        <v/>
      </c>
      <c r="V1784" s="132">
        <f>$D1784-Sheet1!$M$3*$R1784</f>
        <v>0.23562430712328819</v>
      </c>
    </row>
    <row r="1785" spans="1:22" ht="13.5">
      <c r="A1785" s="23" t="s">
        <v>230</v>
      </c>
      <c r="B1785" s="23">
        <f>3^6*19</f>
        <v>13851</v>
      </c>
      <c r="C1785" s="23">
        <f>2^11*7</f>
        <v>14336</v>
      </c>
      <c r="D1785" s="13">
        <f t="shared" si="37"/>
        <v>59.582885144497901</v>
      </c>
      <c r="E1785" s="22">
        <v>19</v>
      </c>
      <c r="F1785" s="65">
        <v>34.080336160875234</v>
      </c>
      <c r="G1785" s="18">
        <v>2000000</v>
      </c>
      <c r="H1785" s="18">
        <v>2000000</v>
      </c>
      <c r="I1785" s="65">
        <v>-9.6687353106156806</v>
      </c>
      <c r="J1785" s="6">
        <f>VLOOKUP($D1785,Sheet1!$A$5:$C$192,3,TRUE)</f>
        <v>11</v>
      </c>
      <c r="K1785" s="42" t="str">
        <f>VLOOKUP($D1785,Sheet1!$A$5:$C$192,2,TRUE)</f>
        <v>(|)</v>
      </c>
      <c r="L1785" s="6">
        <f>FLOOR(VLOOKUP($D1785,Sheet1!$D$5:$F$192,3,TRUE),1)</f>
        <v>24</v>
      </c>
      <c r="M1785" s="42" t="str">
        <f>VLOOKUP($D1785,Sheet1!$D$5:$F$192,2,TRUE)</f>
        <v>|\)</v>
      </c>
      <c r="N1785" s="23">
        <f>FLOOR(VLOOKUP($D1785,Sheet1!$G$5:$I$192,3,TRUE),1)</f>
        <v>30</v>
      </c>
      <c r="O1785" s="42" t="str">
        <f>VLOOKUP($D1785,Sheet1!$G$5:$I$192,2,TRUE)</f>
        <v>|\)</v>
      </c>
      <c r="P1785" s="23">
        <v>1</v>
      </c>
      <c r="Q1785" s="43" t="str">
        <f>VLOOKUP($D1785,Sheet1!$J$5:$L$192,2,TRUE)</f>
        <v>|\)'</v>
      </c>
      <c r="R1785" s="23">
        <f>FLOOR(VLOOKUP($D1785,Sheet1!$M$5:$O$192,3,TRUE),1)</f>
        <v>122</v>
      </c>
      <c r="S1785" s="43" t="str">
        <f>VLOOKUP($D1785,Sheet1!$M$5:$O$192,2,TRUE)</f>
        <v>|\)'</v>
      </c>
      <c r="T1785" s="117">
        <f>IF(ABS(D1785-VLOOKUP($D1785,Sheet1!$M$5:$T$192,8,TRUE))&lt;10^-10,"SoCA",D1785-VLOOKUP($D1785,Sheet1!$M$5:$T$192,8,TRUE))</f>
        <v>3.3465210316308003E-3</v>
      </c>
      <c r="U1785" s="117">
        <f>IF(VLOOKUP($D1785,Sheet1!$M$5:$U$192,9,TRUE)=0,"",IF(ABS(D1785-VLOOKUP($D1785,Sheet1!$M$5:$U$192,9,TRUE))&lt;10^-10,"Alt.",D1785-VLOOKUP($D1785,Sheet1!$M$5:$U$192,9,TRUE)))</f>
        <v>3.0306816234066503E-2</v>
      </c>
      <c r="V1785" s="132">
        <f>$D1785-Sheet1!$M$3*$R1785</f>
        <v>5.6830470502816866E-2</v>
      </c>
    </row>
    <row r="1786" spans="1:22" ht="13.5">
      <c r="A1786" s="38" t="s">
        <v>1779</v>
      </c>
      <c r="B1786" s="38">
        <f>2^11*5*13</f>
        <v>133120</v>
      </c>
      <c r="C1786" s="38">
        <f>3^9*7</f>
        <v>137781</v>
      </c>
      <c r="D1786" s="13">
        <f t="shared" si="37"/>
        <v>59.579538623466412</v>
      </c>
      <c r="E1786" s="61">
        <v>13</v>
      </c>
      <c r="F1786" s="65">
        <v>35.027575750382887</v>
      </c>
      <c r="G1786" s="6">
        <v>212.1</v>
      </c>
      <c r="H1786" s="6">
        <v>204.1</v>
      </c>
      <c r="I1786" s="65">
        <v>5.3314707468762688</v>
      </c>
      <c r="J1786" s="6">
        <f>VLOOKUP($D1786,Sheet1!$A$5:$C$192,3,TRUE)</f>
        <v>11</v>
      </c>
      <c r="K1786" s="42" t="str">
        <f>VLOOKUP($D1786,Sheet1!$A$5:$C$192,2,TRUE)</f>
        <v>(|)</v>
      </c>
      <c r="L1786" s="6">
        <f>FLOOR(VLOOKUP($D1786,Sheet1!$D$5:$F$192,3,TRUE),1)</f>
        <v>24</v>
      </c>
      <c r="M1786" s="42" t="str">
        <f>VLOOKUP($D1786,Sheet1!$D$5:$F$192,2,TRUE)</f>
        <v>|\)</v>
      </c>
      <c r="N1786" s="23">
        <f>FLOOR(VLOOKUP($D1786,Sheet1!$G$5:$I$192,3,TRUE),1)</f>
        <v>30</v>
      </c>
      <c r="O1786" s="42" t="str">
        <f>VLOOKUP($D1786,Sheet1!$G$5:$I$192,2,TRUE)</f>
        <v>|\)</v>
      </c>
      <c r="P1786" s="23">
        <v>1</v>
      </c>
      <c r="Q1786" s="45" t="str">
        <f>VLOOKUP($D1786,Sheet1!$J$5:$L$192,2,TRUE)</f>
        <v>|\)'</v>
      </c>
      <c r="R1786" s="38">
        <f>FLOOR(VLOOKUP($D1786,Sheet1!$M$5:$O$192,3,TRUE),1)</f>
        <v>122</v>
      </c>
      <c r="S1786" s="45" t="str">
        <f>VLOOKUP($D1786,Sheet1!$M$5:$O$192,2,TRUE)</f>
        <v>|\)'</v>
      </c>
      <c r="T1786" s="112" t="str">
        <f>IF(ABS(D1786-VLOOKUP($D1786,Sheet1!$M$5:$T$192,8,TRUE))&lt;10^-10,"SoCA",D1786-VLOOKUP($D1786,Sheet1!$M$5:$T$192,8,TRUE))</f>
        <v>SoCA</v>
      </c>
      <c r="U1786" s="108">
        <f>IF(VLOOKUP($D1786,Sheet1!$M$5:$U$192,9,TRUE)=0,"",IF(ABS(D1786-VLOOKUP($D1786,Sheet1!$M$5:$U$192,9,TRUE))&lt;10^-10,"Alt.",D1786-VLOOKUP($D1786,Sheet1!$M$5:$U$192,9,TRUE)))</f>
        <v>2.6960295202577811E-2</v>
      </c>
      <c r="V1786" s="133">
        <f>$D1786-Sheet1!$M$3*$R1786</f>
        <v>5.3483949471328174E-2</v>
      </c>
    </row>
    <row r="1787" spans="1:22" ht="13.5">
      <c r="A1787" s="23" t="s">
        <v>1775</v>
      </c>
      <c r="B1787" s="23">
        <f>2^3*25</f>
        <v>200</v>
      </c>
      <c r="C1787" s="23">
        <f>3^2*23</f>
        <v>207</v>
      </c>
      <c r="D1787" s="13">
        <f t="shared" si="37"/>
        <v>59.556921269520515</v>
      </c>
      <c r="E1787" s="61">
        <v>23</v>
      </c>
      <c r="F1787" s="65">
        <v>39.670469257026959</v>
      </c>
      <c r="G1787" s="6">
        <v>244.1</v>
      </c>
      <c r="H1787" s="6">
        <v>218.1</v>
      </c>
      <c r="I1787" s="65">
        <v>-1.6671366202417763</v>
      </c>
      <c r="J1787" s="6">
        <f>VLOOKUP($D1787,Sheet1!$A$5:$C$192,3,TRUE)</f>
        <v>11</v>
      </c>
      <c r="K1787" s="42" t="str">
        <f>VLOOKUP($D1787,Sheet1!$A$5:$C$192,2,TRUE)</f>
        <v>(|)</v>
      </c>
      <c r="L1787" s="6">
        <f>FLOOR(VLOOKUP($D1787,Sheet1!$D$5:$F$192,3,TRUE),1)</f>
        <v>24</v>
      </c>
      <c r="M1787" s="42" t="str">
        <f>VLOOKUP($D1787,Sheet1!$D$5:$F$192,2,TRUE)</f>
        <v>|\)</v>
      </c>
      <c r="N1787" s="23">
        <f>FLOOR(VLOOKUP($D1787,Sheet1!$G$5:$I$192,3,TRUE),1)</f>
        <v>30</v>
      </c>
      <c r="O1787" s="42" t="str">
        <f>VLOOKUP($D1787,Sheet1!$G$5:$I$192,2,TRUE)</f>
        <v>|\)</v>
      </c>
      <c r="P1787" s="23">
        <v>1</v>
      </c>
      <c r="Q1787" s="43" t="str">
        <f>VLOOKUP($D1787,Sheet1!$J$5:$L$192,2,TRUE)</f>
        <v>|\)'</v>
      </c>
      <c r="R1787" s="23">
        <f>FLOOR(VLOOKUP($D1787,Sheet1!$M$5:$O$192,3,TRUE),1)</f>
        <v>122</v>
      </c>
      <c r="S1787" s="43" t="str">
        <f>VLOOKUP($D1787,Sheet1!$M$5:$O$192,2,TRUE)</f>
        <v>|\)'</v>
      </c>
      <c r="T1787" s="117">
        <f>IF(ABS(D1787-VLOOKUP($D1787,Sheet1!$M$5:$T$192,8,TRUE))&lt;10^-10,"SoCA",D1787-VLOOKUP($D1787,Sheet1!$M$5:$T$192,8,TRUE))</f>
        <v>-2.2617353945754815E-2</v>
      </c>
      <c r="U1787" s="117">
        <f>IF(VLOOKUP($D1787,Sheet1!$M$5:$U$192,9,TRUE)=0,"",IF(ABS(D1787-VLOOKUP($D1787,Sheet1!$M$5:$U$192,9,TRUE))&lt;10^-10,"Alt.",D1787-VLOOKUP($D1787,Sheet1!$M$5:$U$192,9,TRUE)))</f>
        <v>4.3429412566808878E-3</v>
      </c>
      <c r="V1787" s="132">
        <f>$D1787-Sheet1!$M$3*$R1787</f>
        <v>3.0866595525431251E-2</v>
      </c>
    </row>
    <row r="1788" spans="1:22" ht="13.5">
      <c r="A1788" s="38" t="s">
        <v>231</v>
      </c>
      <c r="B1788" s="38">
        <f>5*17</f>
        <v>85</v>
      </c>
      <c r="C1788" s="38">
        <f>2^3*11</f>
        <v>88</v>
      </c>
      <c r="D1788" s="13">
        <f t="shared" si="37"/>
        <v>60.048818999514758</v>
      </c>
      <c r="E1788" s="22">
        <v>17</v>
      </c>
      <c r="F1788" s="65">
        <v>39.737218427244535</v>
      </c>
      <c r="G1788" s="6">
        <v>316</v>
      </c>
      <c r="H1788" s="6">
        <v>286</v>
      </c>
      <c r="I1788" s="92">
        <v>0.1273980728548495</v>
      </c>
      <c r="J1788" s="6">
        <f>VLOOKUP($D1788,Sheet1!$A$5:$C$192,3,TRUE)</f>
        <v>11</v>
      </c>
      <c r="K1788" s="42" t="str">
        <f>VLOOKUP($D1788,Sheet1!$A$5:$C$192,2,TRUE)</f>
        <v>(|)</v>
      </c>
      <c r="L1788" s="6">
        <f>FLOOR(VLOOKUP($D1788,Sheet1!$D$5:$F$192,3,TRUE),1)</f>
        <v>25</v>
      </c>
      <c r="M1788" s="42" t="str">
        <f>VLOOKUP($D1788,Sheet1!$D$5:$F$192,2,TRUE)</f>
        <v>(|)</v>
      </c>
      <c r="N1788" s="23">
        <f>FLOOR(VLOOKUP($D1788,Sheet1!$G$5:$I$192,3,TRUE),1)</f>
        <v>31</v>
      </c>
      <c r="O1788" s="42" t="str">
        <f>VLOOKUP($D1788,Sheet1!$G$5:$I$192,2,TRUE)</f>
        <v>(|)</v>
      </c>
      <c r="P1788" s="23">
        <v>1</v>
      </c>
      <c r="Q1788" s="45" t="str">
        <f>VLOOKUP($D1788,Sheet1!$J$5:$L$192,2,TRUE)</f>
        <v>(|).</v>
      </c>
      <c r="R1788" s="38">
        <f>FLOOR(VLOOKUP($D1788,Sheet1!$M$5:$O$192,3,TRUE),1)</f>
        <v>123</v>
      </c>
      <c r="S1788" s="45" t="str">
        <f>VLOOKUP($D1788,Sheet1!$M$5:$O$192,2,TRUE)</f>
        <v>(|).</v>
      </c>
      <c r="T1788" s="108">
        <f>IF(ABS(D1788-VLOOKUP($D1788,Sheet1!$M$5:$T$192,8,TRUE))&lt;10^-10,"SoCA",D1788-VLOOKUP($D1788,Sheet1!$M$5:$T$192,8,TRUE))</f>
        <v>5.9472337901951278E-2</v>
      </c>
      <c r="U1788" s="108">
        <f>IF(VLOOKUP($D1788,Sheet1!$M$5:$U$192,9,TRUE)=0,"",IF(ABS(D1788-VLOOKUP($D1788,Sheet1!$M$5:$U$192,9,TRUE))&lt;10^-10,"Alt.",D1788-VLOOKUP($D1788,Sheet1!$M$5:$U$192,9,TRUE)))</f>
        <v>3.2512042699515575E-2</v>
      </c>
      <c r="V1788" s="133">
        <f>$D1788-Sheet1!$M$3*$R1788</f>
        <v>3.4845844585284169E-2</v>
      </c>
    </row>
    <row r="1789" spans="1:22" ht="13.5">
      <c r="A1789" s="6" t="s">
        <v>2051</v>
      </c>
      <c r="B1789" s="6">
        <f>3^4*29</f>
        <v>2349</v>
      </c>
      <c r="C1789" s="6">
        <f>2^7*19</f>
        <v>2432</v>
      </c>
      <c r="D1789" s="13">
        <f t="shared" si="37"/>
        <v>60.115818517666426</v>
      </c>
      <c r="E1789" s="22">
        <v>29</v>
      </c>
      <c r="F1789" s="65">
        <v>50.42217104004655</v>
      </c>
      <c r="G1789" s="6">
        <v>383</v>
      </c>
      <c r="H1789" s="6">
        <v>410</v>
      </c>
      <c r="I1789" s="92">
        <v>2.2492824153405468</v>
      </c>
      <c r="J1789" s="6">
        <f>VLOOKUP($D1789,Sheet1!$A$5:$C$192,3,TRUE)</f>
        <v>11</v>
      </c>
      <c r="K1789" s="42" t="str">
        <f>VLOOKUP($D1789,Sheet1!$A$5:$C$192,2,TRUE)</f>
        <v>(|)</v>
      </c>
      <c r="L1789" s="6">
        <f>FLOOR(VLOOKUP($D1789,Sheet1!$D$5:$F$192,3,TRUE),1)</f>
        <v>25</v>
      </c>
      <c r="M1789" s="42" t="str">
        <f>VLOOKUP($D1789,Sheet1!$D$5:$F$192,2,TRUE)</f>
        <v>(|)</v>
      </c>
      <c r="N1789" s="23">
        <f>FLOOR(VLOOKUP($D1789,Sheet1!$G$5:$I$192,3,TRUE),1)</f>
        <v>31</v>
      </c>
      <c r="O1789" s="42" t="str">
        <f>VLOOKUP($D1789,Sheet1!$G$5:$I$192,2,TRUE)</f>
        <v>(|)</v>
      </c>
      <c r="P1789" s="23">
        <v>1</v>
      </c>
      <c r="Q1789" s="43" t="str">
        <f>VLOOKUP($D1789,Sheet1!$J$5:$L$192,2,TRUE)</f>
        <v>(|).</v>
      </c>
      <c r="R1789" s="23">
        <f>FLOOR(VLOOKUP($D1789,Sheet1!$M$5:$O$192,3,TRUE),1)</f>
        <v>123</v>
      </c>
      <c r="S1789" s="42" t="str">
        <f>VLOOKUP($D1789,Sheet1!$M$5:$O$192,2,TRUE)</f>
        <v>(|).</v>
      </c>
      <c r="T1789" s="117">
        <f>IF(ABS(D1789-VLOOKUP($D1789,Sheet1!$M$5:$T$192,8,TRUE))&lt;10^-10,"SoCA",D1789-VLOOKUP($D1789,Sheet1!$M$5:$T$192,8,TRUE))</f>
        <v>0.12647185605361955</v>
      </c>
      <c r="U1789" s="109">
        <f>IF(VLOOKUP($D1789,Sheet1!$M$5:$U$192,9,TRUE)=0,"",IF(ABS(D1789-VLOOKUP($D1789,Sheet1!$M$5:$U$192,9,TRUE))&lt;10^-10,"Alt.",D1789-VLOOKUP($D1789,Sheet1!$M$5:$U$192,9,TRUE)))</f>
        <v>9.9511560851183845E-2</v>
      </c>
      <c r="V1789" s="132">
        <f>$D1789-Sheet1!$M$3*$R1789</f>
        <v>0.10184536273695244</v>
      </c>
    </row>
    <row r="1790" spans="1:22" ht="13.5">
      <c r="A1790" s="23" t="s">
        <v>2048</v>
      </c>
      <c r="B1790" s="23">
        <f>2^18*11</f>
        <v>2883584</v>
      </c>
      <c r="C1790" s="23">
        <f>3^8*5*7*13</f>
        <v>2985255</v>
      </c>
      <c r="D1790" s="13">
        <f t="shared" si="37"/>
        <v>59.989346661612942</v>
      </c>
      <c r="E1790" s="22">
        <v>13</v>
      </c>
      <c r="F1790" s="65">
        <v>53.17093829673717</v>
      </c>
      <c r="G1790" s="23">
        <v>591.1</v>
      </c>
      <c r="H1790" s="23">
        <v>552.1</v>
      </c>
      <c r="I1790" s="92">
        <v>0.19877645604431607</v>
      </c>
      <c r="J1790" s="6">
        <f>VLOOKUP($D1790,Sheet1!$A$5:$C$192,3,TRUE)</f>
        <v>11</v>
      </c>
      <c r="K1790" s="42" t="str">
        <f>VLOOKUP($D1790,Sheet1!$A$5:$C$192,2,TRUE)</f>
        <v>(|)</v>
      </c>
      <c r="L1790" s="6">
        <f>FLOOR(VLOOKUP($D1790,Sheet1!$D$5:$F$192,3,TRUE),1)</f>
        <v>25</v>
      </c>
      <c r="M1790" s="42" t="str">
        <f>VLOOKUP($D1790,Sheet1!$D$5:$F$192,2,TRUE)</f>
        <v>(|)</v>
      </c>
      <c r="N1790" s="23">
        <f>FLOOR(VLOOKUP($D1790,Sheet1!$G$5:$I$192,3,TRUE),1)</f>
        <v>31</v>
      </c>
      <c r="O1790" s="42" t="str">
        <f>VLOOKUP($D1790,Sheet1!$G$5:$I$192,2,TRUE)</f>
        <v>(|)</v>
      </c>
      <c r="P1790" s="23">
        <v>1</v>
      </c>
      <c r="Q1790" s="43" t="str">
        <f>VLOOKUP($D1790,Sheet1!$J$5:$L$192,2,TRUE)</f>
        <v>(|).</v>
      </c>
      <c r="R1790" s="23">
        <f>FLOOR(VLOOKUP($D1790,Sheet1!$M$5:$O$192,3,TRUE),1)</f>
        <v>123</v>
      </c>
      <c r="S1790" s="43" t="str">
        <f>VLOOKUP($D1790,Sheet1!$M$5:$O$192,2,TRUE)</f>
        <v>(|).</v>
      </c>
      <c r="T1790" s="124" t="str">
        <f>IF(ABS(D1790-VLOOKUP($D1790,Sheet1!$M$5:$T$192,8,TRUE))&lt;10^-10,"SoCA",D1790-VLOOKUP($D1790,Sheet1!$M$5:$T$192,8,TRUE))</f>
        <v>SoCA</v>
      </c>
      <c r="U1790" s="117">
        <f>IF(VLOOKUP($D1790,Sheet1!$M$5:$U$192,9,TRUE)=0,"",IF(ABS(D1790-VLOOKUP($D1790,Sheet1!$M$5:$U$192,9,TRUE))&lt;10^-10,"Alt.",D1790-VLOOKUP($D1790,Sheet1!$M$5:$U$192,9,TRUE)))</f>
        <v>-2.6960295202300699E-2</v>
      </c>
      <c r="V1790" s="132">
        <f>$D1790-Sheet1!$M$3*$R1790</f>
        <v>-2.4626493316532105E-2</v>
      </c>
    </row>
    <row r="1791" spans="1:22" ht="13.5">
      <c r="A1791" s="23" t="s">
        <v>2065</v>
      </c>
      <c r="B1791" s="21">
        <f>2^12*13</f>
        <v>53248</v>
      </c>
      <c r="C1791" s="21">
        <f>3^2*5^3*7^2</f>
        <v>55125</v>
      </c>
      <c r="D1791" s="13">
        <f t="shared" si="37"/>
        <v>59.975294494218502</v>
      </c>
      <c r="E1791" s="22">
        <v>13</v>
      </c>
      <c r="F1791" s="65">
        <v>75.675603100494996</v>
      </c>
      <c r="G1791" s="18">
        <v>2000000</v>
      </c>
      <c r="H1791" s="18">
        <v>2000000</v>
      </c>
      <c r="I1791" s="65">
        <v>-1.6928973839030745</v>
      </c>
      <c r="J1791" s="6">
        <f>VLOOKUP($D1791,Sheet1!$A$5:$C$192,3,TRUE)</f>
        <v>11</v>
      </c>
      <c r="K1791" s="42" t="str">
        <f>VLOOKUP($D1791,Sheet1!$A$5:$C$192,2,TRUE)</f>
        <v>(|)</v>
      </c>
      <c r="L1791" s="6">
        <f>FLOOR(VLOOKUP($D1791,Sheet1!$D$5:$F$192,3,TRUE),1)</f>
        <v>25</v>
      </c>
      <c r="M1791" s="42" t="str">
        <f>VLOOKUP($D1791,Sheet1!$D$5:$F$192,2,TRUE)</f>
        <v>(|)</v>
      </c>
      <c r="N1791" s="23">
        <f>FLOOR(VLOOKUP($D1791,Sheet1!$G$5:$I$192,3,TRUE),1)</f>
        <v>31</v>
      </c>
      <c r="O1791" s="42" t="str">
        <f>VLOOKUP($D1791,Sheet1!$G$5:$I$192,2,TRUE)</f>
        <v>(|)</v>
      </c>
      <c r="P1791" s="23">
        <v>1</v>
      </c>
      <c r="Q1791" s="43" t="str">
        <f>VLOOKUP($D1791,Sheet1!$J$5:$L$192,2,TRUE)</f>
        <v>(|).</v>
      </c>
      <c r="R1791" s="23">
        <f>FLOOR(VLOOKUP($D1791,Sheet1!$M$5:$O$192,3,TRUE),1)</f>
        <v>123</v>
      </c>
      <c r="S1791" s="43" t="str">
        <f>VLOOKUP($D1791,Sheet1!$M$5:$O$192,2,TRUE)</f>
        <v>(|).</v>
      </c>
      <c r="T1791" s="117">
        <f>IF(ABS(D1791-VLOOKUP($D1791,Sheet1!$M$5:$T$192,8,TRUE))&lt;10^-10,"SoCA",D1791-VLOOKUP($D1791,Sheet1!$M$5:$T$192,8,TRUE))</f>
        <v>-1.4052167394304149E-2</v>
      </c>
      <c r="U1791" s="117">
        <f>IF(VLOOKUP($D1791,Sheet1!$M$5:$U$192,9,TRUE)=0,"",IF(ABS(D1791-VLOOKUP($D1791,Sheet1!$M$5:$U$192,9,TRUE))&lt;10^-10,"Alt.",D1791-VLOOKUP($D1791,Sheet1!$M$5:$U$192,9,TRUE)))</f>
        <v>-4.1012462596739852E-2</v>
      </c>
      <c r="V1791" s="132">
        <f>$D1791-Sheet1!$M$3*$R1791</f>
        <v>-3.8678660710971258E-2</v>
      </c>
    </row>
    <row r="1792" spans="1:22" ht="13.5">
      <c r="A1792" s="6" t="s">
        <v>2052</v>
      </c>
      <c r="B1792" s="18">
        <f>2^21*5*7</f>
        <v>73400320</v>
      </c>
      <c r="C1792" s="18">
        <f>3^12*11*13</f>
        <v>75996063</v>
      </c>
      <c r="D1792" s="13">
        <f t="shared" si="37"/>
        <v>60.165994184756578</v>
      </c>
      <c r="E1792" s="22">
        <v>13</v>
      </c>
      <c r="F1792" s="65">
        <v>80.311124918192448</v>
      </c>
      <c r="G1792" s="6">
        <v>545.1</v>
      </c>
      <c r="H1792" s="6">
        <v>572.1</v>
      </c>
      <c r="I1792" s="92">
        <v>3.1565354671067078</v>
      </c>
      <c r="J1792" s="6">
        <f>VLOOKUP($D1792,Sheet1!$A$5:$C$192,3,TRUE)</f>
        <v>11</v>
      </c>
      <c r="K1792" s="42" t="str">
        <f>VLOOKUP($D1792,Sheet1!$A$5:$C$192,2,TRUE)</f>
        <v>(|)</v>
      </c>
      <c r="L1792" s="6">
        <f>FLOOR(VLOOKUP($D1792,Sheet1!$D$5:$F$192,3,TRUE),1)</f>
        <v>25</v>
      </c>
      <c r="M1792" s="42" t="str">
        <f>VLOOKUP($D1792,Sheet1!$D$5:$F$192,2,TRUE)</f>
        <v>(|)</v>
      </c>
      <c r="N1792" s="23">
        <f>FLOOR(VLOOKUP($D1792,Sheet1!$G$5:$I$192,3,TRUE),1)</f>
        <v>31</v>
      </c>
      <c r="O1792" s="42" t="str">
        <f>VLOOKUP($D1792,Sheet1!$G$5:$I$192,2,TRUE)</f>
        <v>(|)</v>
      </c>
      <c r="P1792" s="23">
        <v>1</v>
      </c>
      <c r="Q1792" s="43" t="str">
        <f>VLOOKUP($D1792,Sheet1!$J$5:$L$192,2,TRUE)</f>
        <v>(|).</v>
      </c>
      <c r="R1792" s="23">
        <f>FLOOR(VLOOKUP($D1792,Sheet1!$M$5:$O$192,3,TRUE),1)</f>
        <v>123</v>
      </c>
      <c r="S1792" s="42" t="str">
        <f>VLOOKUP($D1792,Sheet1!$M$5:$O$192,2,TRUE)</f>
        <v>(|).</v>
      </c>
      <c r="T1792" s="117">
        <f>IF(ABS(D1792-VLOOKUP($D1792,Sheet1!$M$5:$T$192,8,TRUE))&lt;10^-10,"SoCA",D1792-VLOOKUP($D1792,Sheet1!$M$5:$T$192,8,TRUE))</f>
        <v>0.17664752314377097</v>
      </c>
      <c r="U1792" s="109">
        <f>IF(VLOOKUP($D1792,Sheet1!$M$5:$U$192,9,TRUE)=0,"",IF(ABS(D1792-VLOOKUP($D1792,Sheet1!$M$5:$U$192,9,TRUE))&lt;10^-10,"Alt.",D1792-VLOOKUP($D1792,Sheet1!$M$5:$U$192,9,TRUE)))</f>
        <v>0.14968722794133527</v>
      </c>
      <c r="V1792" s="132">
        <f>$D1792-Sheet1!$M$3*$R1792</f>
        <v>0.15202102982710386</v>
      </c>
    </row>
    <row r="1793" spans="1:22" ht="13.5">
      <c r="A1793" s="21" t="s">
        <v>2049</v>
      </c>
      <c r="B1793" s="21">
        <f>2^15*47</f>
        <v>1540096</v>
      </c>
      <c r="C1793" s="21">
        <f>3^13</f>
        <v>1594323</v>
      </c>
      <c r="D1793" s="13">
        <f t="shared" si="37"/>
        <v>59.908389236871429</v>
      </c>
      <c r="E1793" s="22">
        <v>47</v>
      </c>
      <c r="F1793" s="65">
        <v>151.29080753232245</v>
      </c>
      <c r="G1793" s="23">
        <v>174.1</v>
      </c>
      <c r="H1793" s="23">
        <v>242.1</v>
      </c>
      <c r="I1793" s="92">
        <v>6.8289667658112636</v>
      </c>
      <c r="J1793" s="6">
        <f>VLOOKUP($D1793,Sheet1!$A$5:$C$192,3,TRUE)</f>
        <v>11</v>
      </c>
      <c r="K1793" s="42" t="str">
        <f>VLOOKUP($D1793,Sheet1!$A$5:$C$192,2,TRUE)</f>
        <v>(|)</v>
      </c>
      <c r="L1793" s="6">
        <f>FLOOR(VLOOKUP($D1793,Sheet1!$D$5:$F$192,3,TRUE),1)</f>
        <v>25</v>
      </c>
      <c r="M1793" s="42" t="str">
        <f>VLOOKUP($D1793,Sheet1!$D$5:$F$192,2,TRUE)</f>
        <v>(|)</v>
      </c>
      <c r="N1793" s="23">
        <f>FLOOR(VLOOKUP($D1793,Sheet1!$G$5:$I$192,3,TRUE),1)</f>
        <v>31</v>
      </c>
      <c r="O1793" s="42" t="str">
        <f>VLOOKUP($D1793,Sheet1!$G$5:$I$192,2,TRUE)</f>
        <v>(|)</v>
      </c>
      <c r="P1793" s="23">
        <v>1</v>
      </c>
      <c r="Q1793" s="43" t="str">
        <f>VLOOKUP($D1793,Sheet1!$J$5:$L$192,2,TRUE)</f>
        <v>(|).</v>
      </c>
      <c r="R1793" s="23">
        <f>FLOOR(VLOOKUP($D1793,Sheet1!$M$5:$O$192,3,TRUE),1)</f>
        <v>123</v>
      </c>
      <c r="S1793" s="42" t="str">
        <f>VLOOKUP($D1793,Sheet1!$M$5:$O$192,2,TRUE)</f>
        <v>(|).</v>
      </c>
      <c r="T1793" s="117">
        <f>IF(ABS(D1793-VLOOKUP($D1793,Sheet1!$M$5:$T$192,8,TRUE))&lt;10^-10,"SoCA",D1793-VLOOKUP($D1793,Sheet1!$M$5:$T$192,8,TRUE))</f>
        <v>-8.0957424741377793E-2</v>
      </c>
      <c r="U1793" s="109">
        <f>IF(VLOOKUP($D1793,Sheet1!$M$5:$U$192,9,TRUE)=0,"",IF(ABS(D1793-VLOOKUP($D1793,Sheet1!$M$5:$U$192,9,TRUE))&lt;10^-10,"Alt.",D1793-VLOOKUP($D1793,Sheet1!$M$5:$U$192,9,TRUE)))</f>
        <v>-0.10791771994381349</v>
      </c>
      <c r="V1793" s="132">
        <f>$D1793-Sheet1!$M$3*$R1793</f>
        <v>-0.1055839180580449</v>
      </c>
    </row>
    <row r="1794" spans="1:22" ht="13.5">
      <c r="A1794" s="6" t="s">
        <v>2050</v>
      </c>
      <c r="B1794" s="18">
        <f>2^24*19</f>
        <v>318767104</v>
      </c>
      <c r="C1794" s="18">
        <f>3^15*23</f>
        <v>330024861</v>
      </c>
      <c r="D1794" s="13">
        <f t="shared" si="37"/>
        <v>60.086344116924145</v>
      </c>
      <c r="E1794" s="22">
        <v>23</v>
      </c>
      <c r="F1794" s="65">
        <v>410.86521401342969</v>
      </c>
      <c r="G1794" s="59">
        <v>1099.0999999999999</v>
      </c>
      <c r="H1794" s="63">
        <v>1000015</v>
      </c>
      <c r="I1794" s="92">
        <v>26.359466629181348</v>
      </c>
      <c r="J1794" s="6">
        <f>VLOOKUP($D1794,Sheet1!$A$5:$C$192,3,TRUE)</f>
        <v>11</v>
      </c>
      <c r="K1794" s="42" t="str">
        <f>VLOOKUP($D1794,Sheet1!$A$5:$C$192,2,TRUE)</f>
        <v>(|)</v>
      </c>
      <c r="L1794" s="6">
        <f>FLOOR(VLOOKUP($D1794,Sheet1!$D$5:$F$192,3,TRUE),1)</f>
        <v>25</v>
      </c>
      <c r="M1794" s="42" t="str">
        <f>VLOOKUP($D1794,Sheet1!$D$5:$F$192,2,TRUE)</f>
        <v>(|)</v>
      </c>
      <c r="N1794" s="23">
        <f>FLOOR(VLOOKUP($D1794,Sheet1!$G$5:$I$192,3,TRUE),1)</f>
        <v>31</v>
      </c>
      <c r="O1794" s="42" t="str">
        <f>VLOOKUP($D1794,Sheet1!$G$5:$I$192,2,TRUE)</f>
        <v>(|)</v>
      </c>
      <c r="P1794" s="23">
        <v>1</v>
      </c>
      <c r="Q1794" s="43" t="str">
        <f>VLOOKUP($D1794,Sheet1!$J$5:$L$192,2,TRUE)</f>
        <v>(|).</v>
      </c>
      <c r="R1794" s="23">
        <f>FLOOR(VLOOKUP($D1794,Sheet1!$M$5:$O$192,3,TRUE),1)</f>
        <v>123</v>
      </c>
      <c r="S1794" s="42" t="str">
        <f>VLOOKUP($D1794,Sheet1!$M$5:$O$192,2,TRUE)</f>
        <v>(|).</v>
      </c>
      <c r="T1794" s="117">
        <f>IF(ABS(D1794-VLOOKUP($D1794,Sheet1!$M$5:$T$192,8,TRUE))&lt;10^-10,"SoCA",D1794-VLOOKUP($D1794,Sheet1!$M$5:$T$192,8,TRUE))</f>
        <v>9.6997455311338854E-2</v>
      </c>
      <c r="U1794" s="109">
        <f>IF(VLOOKUP($D1794,Sheet1!$M$5:$U$192,9,TRUE)=0,"",IF(ABS(D1794-VLOOKUP($D1794,Sheet1!$M$5:$U$192,9,TRUE))&lt;10^-10,"Alt.",D1794-VLOOKUP($D1794,Sheet1!$M$5:$U$192,9,TRUE)))</f>
        <v>7.0037160108903151E-2</v>
      </c>
      <c r="V1794" s="132">
        <f>$D1794-Sheet1!$M$3*$R1794</f>
        <v>7.2370961994671745E-2</v>
      </c>
    </row>
    <row r="1795" spans="1:22" ht="13.5">
      <c r="A1795" s="80" t="s">
        <v>233</v>
      </c>
      <c r="B1795" s="80">
        <f>2^6*11</f>
        <v>704</v>
      </c>
      <c r="C1795" s="80">
        <f>3^6</f>
        <v>729</v>
      </c>
      <c r="D1795" s="51">
        <f t="shared" si="37"/>
        <v>60.412062827567631</v>
      </c>
      <c r="E1795" s="61">
        <v>11</v>
      </c>
      <c r="F1795" s="65">
        <v>13.687837274378273</v>
      </c>
      <c r="G1795" s="6">
        <v>10.1</v>
      </c>
      <c r="H1795" s="6">
        <v>11.1</v>
      </c>
      <c r="I1795" s="65">
        <v>2.2802091985789481</v>
      </c>
      <c r="J1795" s="81">
        <f>VLOOKUP($D1795,Sheet1!$A$5:$C$192,3,TRUE)</f>
        <v>11</v>
      </c>
      <c r="K1795" s="82" t="str">
        <f>VLOOKUP($D1795,Sheet1!$A$5:$C$192,2,TRUE)</f>
        <v>(|)</v>
      </c>
      <c r="L1795" s="81">
        <f>FLOOR(VLOOKUP($D1795,Sheet1!$D$5:$F$192,3,TRUE),1)</f>
        <v>25</v>
      </c>
      <c r="M1795" s="82" t="str">
        <f>VLOOKUP($D1795,Sheet1!$D$5:$F$192,2,TRUE)</f>
        <v>(|)</v>
      </c>
      <c r="N1795" s="81">
        <f>FLOOR(VLOOKUP($D1795,Sheet1!$G$5:$I$192,3,TRUE),1)</f>
        <v>31</v>
      </c>
      <c r="O1795" s="82" t="str">
        <f>VLOOKUP($D1795,Sheet1!$G$5:$I$192,2,TRUE)</f>
        <v>(|)</v>
      </c>
      <c r="P1795" s="81">
        <v>1</v>
      </c>
      <c r="Q1795" s="82" t="str">
        <f>VLOOKUP($D1795,Sheet1!$J$5:$L$192,2,TRUE)</f>
        <v>(|)</v>
      </c>
      <c r="R1795" s="81">
        <f>FLOOR(VLOOKUP($D1795,Sheet1!$M$5:$O$192,3,TRUE),1)</f>
        <v>124</v>
      </c>
      <c r="S1795" s="82" t="str">
        <f>VLOOKUP($D1795,Sheet1!$M$5:$O$192,2,TRUE)</f>
        <v>(|)</v>
      </c>
      <c r="T1795" s="111" t="str">
        <f>IF(ABS(D1795-VLOOKUP($D1795,Sheet1!$M$5:$T$192,8,TRUE))&lt;10^-10,"SoCA",D1795-VLOOKUP($D1795,Sheet1!$M$5:$T$192,8,TRUE))</f>
        <v>SoCA</v>
      </c>
      <c r="U1795" s="110" t="str">
        <f>IF(VLOOKUP($D1795,Sheet1!$M$5:$U$192,9,TRUE)=0,"",IF(ABS(D1795-VLOOKUP($D1795,Sheet1!$M$5:$U$192,9,TRUE))&lt;10^-10,"Alt.",D1795-VLOOKUP($D1795,Sheet1!$M$5:$U$192,9,TRUE)))</f>
        <v/>
      </c>
      <c r="V1795" s="135">
        <f>$D1795-Sheet1!$M$3*$R1795</f>
        <v>-8.9828808296225304E-2</v>
      </c>
    </row>
    <row r="1796" spans="1:22" ht="13.5">
      <c r="A1796" s="40" t="s">
        <v>2003</v>
      </c>
      <c r="B1796" s="40">
        <f>3^4*5^5</f>
        <v>253125</v>
      </c>
      <c r="C1796" s="40">
        <f>2^18</f>
        <v>262144</v>
      </c>
      <c r="D1796" s="13">
        <f t="shared" si="37"/>
        <v>60.611427214276333</v>
      </c>
      <c r="E1796" s="22">
        <v>5</v>
      </c>
      <c r="F1796" s="65">
        <v>52.081163388819874</v>
      </c>
      <c r="G1796" s="6">
        <v>140</v>
      </c>
      <c r="H1796" s="6">
        <v>146</v>
      </c>
      <c r="I1796" s="92">
        <v>1.935506601467607</v>
      </c>
      <c r="J1796" s="6">
        <f>VLOOKUP($D1796,Sheet1!$A$5:$C$192,3,TRUE)</f>
        <v>11</v>
      </c>
      <c r="K1796" s="42" t="str">
        <f>VLOOKUP($D1796,Sheet1!$A$5:$C$192,2,TRUE)</f>
        <v>(|)</v>
      </c>
      <c r="L1796" s="6">
        <f>FLOOR(VLOOKUP($D1796,Sheet1!$D$5:$F$192,3,TRUE),1)</f>
        <v>25</v>
      </c>
      <c r="M1796" s="42" t="str">
        <f>VLOOKUP($D1796,Sheet1!$D$5:$F$192,2,TRUE)</f>
        <v>(|)</v>
      </c>
      <c r="N1796" s="23">
        <f>FLOOR(VLOOKUP($D1796,Sheet1!$G$5:$I$192,3,TRUE),1)</f>
        <v>31</v>
      </c>
      <c r="O1796" s="42" t="str">
        <f>VLOOKUP($D1796,Sheet1!$G$5:$I$192,2,TRUE)</f>
        <v>(|)</v>
      </c>
      <c r="P1796" s="23">
        <v>1</v>
      </c>
      <c r="Q1796" s="43" t="str">
        <f>VLOOKUP($D1796,Sheet1!$J$5:$L$192,2,TRUE)</f>
        <v>(|)</v>
      </c>
      <c r="R1796" s="40">
        <f>FLOOR(VLOOKUP($D1796,Sheet1!$M$5:$O$192,3,TRUE),1)</f>
        <v>124</v>
      </c>
      <c r="S1796" s="46" t="str">
        <f>VLOOKUP($D1796,Sheet1!$M$5:$O$192,2,TRUE)</f>
        <v>'|\).</v>
      </c>
      <c r="T1796" s="115">
        <f>IF(ABS(D1796-VLOOKUP($D1796,Sheet1!$M$5:$T$192,8,TRUE))&lt;10^-10,"SoCA",D1796-VLOOKUP($D1796,Sheet1!$M$5:$T$192,8,TRUE))</f>
        <v>-7.6399865214447971E-2</v>
      </c>
      <c r="U1796" s="115">
        <f>IF(VLOOKUP($D1796,Sheet1!$M$5:$U$192,9,TRUE)=0,"",IF(ABS(D1796-VLOOKUP($D1796,Sheet1!$M$5:$U$192,9,TRUE))&lt;10^-10,"Alt.",D1796-VLOOKUP($D1796,Sheet1!$M$5:$U$192,9,TRUE)))</f>
        <v>-0.10336016041688367</v>
      </c>
      <c r="V1796" s="132">
        <f>$D1796-Sheet1!$M$3*$R1796</f>
        <v>0.1095355784124763</v>
      </c>
    </row>
    <row r="1797" spans="1:22" ht="13.5">
      <c r="A1797" s="6" t="s">
        <v>2001</v>
      </c>
      <c r="B1797" s="6">
        <f>2^14*29</f>
        <v>475136</v>
      </c>
      <c r="C1797" s="6">
        <f>3^9*5^2</f>
        <v>492075</v>
      </c>
      <c r="D1797" s="13">
        <f t="shared" si="37"/>
        <v>60.645241365069879</v>
      </c>
      <c r="E1797" s="22">
        <v>29</v>
      </c>
      <c r="F1797" s="65">
        <v>52.446437665814628</v>
      </c>
      <c r="G1797" s="6">
        <v>225.1</v>
      </c>
      <c r="H1797" s="6">
        <v>221.1</v>
      </c>
      <c r="I1797" s="92">
        <v>0.39465368423151337</v>
      </c>
      <c r="J1797" s="6">
        <f>VLOOKUP($D1797,Sheet1!$A$5:$C$192,3,TRUE)</f>
        <v>11</v>
      </c>
      <c r="K1797" s="42" t="str">
        <f>VLOOKUP($D1797,Sheet1!$A$5:$C$192,2,TRUE)</f>
        <v>(|)</v>
      </c>
      <c r="L1797" s="6">
        <f>FLOOR(VLOOKUP($D1797,Sheet1!$D$5:$F$192,3,TRUE),1)</f>
        <v>25</v>
      </c>
      <c r="M1797" s="42" t="str">
        <f>VLOOKUP($D1797,Sheet1!$D$5:$F$192,2,TRUE)</f>
        <v>(|)</v>
      </c>
      <c r="N1797" s="23">
        <f>FLOOR(VLOOKUP($D1797,Sheet1!$G$5:$I$192,3,TRUE),1)</f>
        <v>31</v>
      </c>
      <c r="O1797" s="42" t="str">
        <f>VLOOKUP($D1797,Sheet1!$G$5:$I$192,2,TRUE)</f>
        <v>(|)</v>
      </c>
      <c r="P1797" s="23">
        <v>1</v>
      </c>
      <c r="Q1797" s="43" t="str">
        <f>VLOOKUP($D1797,Sheet1!$J$5:$L$192,2,TRUE)</f>
        <v>(|)</v>
      </c>
      <c r="R1797" s="23">
        <f>FLOOR(VLOOKUP($D1797,Sheet1!$M$5:$O$192,3,TRUE),1)</f>
        <v>124</v>
      </c>
      <c r="S1797" s="42" t="str">
        <f>VLOOKUP($D1797,Sheet1!$M$5:$O$192,2,TRUE)</f>
        <v>'|\).</v>
      </c>
      <c r="T1797" s="117">
        <f>IF(ABS(D1797-VLOOKUP($D1797,Sheet1!$M$5:$T$192,8,TRUE))&lt;10^-10,"SoCA",D1797-VLOOKUP($D1797,Sheet1!$M$5:$T$192,8,TRUE))</f>
        <v>-4.2585714420901866E-2</v>
      </c>
      <c r="U1797" s="109">
        <f>IF(VLOOKUP($D1797,Sheet1!$M$5:$U$192,9,TRUE)=0,"",IF(ABS(D1797-VLOOKUP($D1797,Sheet1!$M$5:$U$192,9,TRUE))&lt;10^-10,"Alt.",D1797-VLOOKUP($D1797,Sheet1!$M$5:$U$192,9,TRUE)))</f>
        <v>-6.9546009623337568E-2</v>
      </c>
      <c r="V1797" s="132">
        <f>$D1797-Sheet1!$M$3*$R1797</f>
        <v>0.1433497292060224</v>
      </c>
    </row>
    <row r="1798" spans="1:22" ht="13.5">
      <c r="A1798" s="23" t="s">
        <v>2002</v>
      </c>
      <c r="B1798" s="23">
        <f>2^9*5^2*7^2</f>
        <v>627200</v>
      </c>
      <c r="C1798" s="23">
        <f>3^10*11</f>
        <v>649539</v>
      </c>
      <c r="D1798" s="13">
        <f t="shared" ref="D1798:D1804" si="38">1200*LN($C1798/$B1798)/LN(2)</f>
        <v>60.588710350711352</v>
      </c>
      <c r="E1798" s="22">
        <v>11</v>
      </c>
      <c r="F1798" s="65">
        <v>66.982560710823222</v>
      </c>
      <c r="G1798" s="6">
        <v>446.1</v>
      </c>
      <c r="H1798" s="6">
        <v>465.1</v>
      </c>
      <c r="I1798" s="92">
        <v>0.7693425414684113</v>
      </c>
      <c r="J1798" s="6">
        <f>VLOOKUP($D1798,Sheet1!$A$5:$C$192,3,TRUE)</f>
        <v>11</v>
      </c>
      <c r="K1798" s="42" t="str">
        <f>VLOOKUP($D1798,Sheet1!$A$5:$C$192,2,TRUE)</f>
        <v>(|)</v>
      </c>
      <c r="L1798" s="6">
        <f>FLOOR(VLOOKUP($D1798,Sheet1!$D$5:$F$192,3,TRUE),1)</f>
        <v>25</v>
      </c>
      <c r="M1798" s="42" t="str">
        <f>VLOOKUP($D1798,Sheet1!$D$5:$F$192,2,TRUE)</f>
        <v>(|)</v>
      </c>
      <c r="N1798" s="23">
        <f>FLOOR(VLOOKUP($D1798,Sheet1!$G$5:$I$192,3,TRUE),1)</f>
        <v>31</v>
      </c>
      <c r="O1798" s="42" t="str">
        <f>VLOOKUP($D1798,Sheet1!$G$5:$I$192,2,TRUE)</f>
        <v>(|)</v>
      </c>
      <c r="P1798" s="23">
        <v>1</v>
      </c>
      <c r="Q1798" s="43" t="str">
        <f>VLOOKUP($D1798,Sheet1!$J$5:$L$192,2,TRUE)</f>
        <v>(|)</v>
      </c>
      <c r="R1798" s="23">
        <f>FLOOR(VLOOKUP($D1798,Sheet1!$M$5:$O$192,3,TRUE),1)</f>
        <v>124</v>
      </c>
      <c r="S1798" s="43" t="str">
        <f>VLOOKUP($D1798,Sheet1!$M$5:$O$192,2,TRUE)</f>
        <v>'|\).</v>
      </c>
      <c r="T1798" s="117">
        <f>IF(ABS(D1798-VLOOKUP($D1798,Sheet1!$M$5:$T$192,8,TRUE))&lt;10^-10,"SoCA",D1798-VLOOKUP($D1798,Sheet1!$M$5:$T$192,8,TRUE))</f>
        <v>-9.9116728779428342E-2</v>
      </c>
      <c r="U1798" s="117">
        <f>IF(VLOOKUP($D1798,Sheet1!$M$5:$U$192,9,TRUE)=0,"",IF(ABS(D1798-VLOOKUP($D1798,Sheet1!$M$5:$U$192,9,TRUE))&lt;10^-10,"Alt.",D1798-VLOOKUP($D1798,Sheet1!$M$5:$U$192,9,TRUE)))</f>
        <v>-0.12607702398186404</v>
      </c>
      <c r="V1798" s="132">
        <f>$D1798-Sheet1!$M$3*$R1798</f>
        <v>8.6818714847495926E-2</v>
      </c>
    </row>
    <row r="1799" spans="1:22" ht="13.5">
      <c r="A1799" s="21" t="s">
        <v>2004</v>
      </c>
      <c r="B1799" s="23">
        <f>2^2*7</f>
        <v>28</v>
      </c>
      <c r="C1799" s="23">
        <f>29</f>
        <v>29</v>
      </c>
      <c r="D1799" s="13">
        <f t="shared" si="38"/>
        <v>60.75128768396177</v>
      </c>
      <c r="E1799" s="22">
        <v>29</v>
      </c>
      <c r="F1799" s="65">
        <v>36.144359453160583</v>
      </c>
      <c r="G1799" s="6">
        <v>152</v>
      </c>
      <c r="H1799" s="6">
        <v>143</v>
      </c>
      <c r="I1799" s="92">
        <v>0.13431194597037527</v>
      </c>
      <c r="J1799" s="6">
        <f>VLOOKUP($D1799,Sheet1!$A$5:$C$192,3,TRUE)</f>
        <v>11</v>
      </c>
      <c r="K1799" s="42" t="str">
        <f>VLOOKUP($D1799,Sheet1!$A$5:$C$192,2,TRUE)</f>
        <v>(|)</v>
      </c>
      <c r="L1799" s="6">
        <f>FLOOR(VLOOKUP($D1799,Sheet1!$D$5:$F$192,3,TRUE),1)</f>
        <v>25</v>
      </c>
      <c r="M1799" s="42" t="str">
        <f>VLOOKUP($D1799,Sheet1!$D$5:$F$192,2,TRUE)</f>
        <v>(|)</v>
      </c>
      <c r="N1799" s="23">
        <f>FLOOR(VLOOKUP($D1799,Sheet1!$G$5:$I$192,3,TRUE),1)</f>
        <v>31</v>
      </c>
      <c r="O1799" s="42" t="str">
        <f>VLOOKUP($D1799,Sheet1!$G$5:$I$192,2,TRUE)</f>
        <v>(|)</v>
      </c>
      <c r="P1799" s="23">
        <v>1</v>
      </c>
      <c r="Q1799" s="43" t="str">
        <f>VLOOKUP($D1799,Sheet1!$J$5:$L$192,2,TRUE)</f>
        <v>(|)'</v>
      </c>
      <c r="R1799" s="23">
        <f>FLOOR(VLOOKUP($D1799,Sheet1!$M$5:$O$192,3,TRUE),1)</f>
        <v>125</v>
      </c>
      <c r="S1799" s="43" t="str">
        <f>VLOOKUP($D1799,Sheet1!$M$5:$O$192,2,TRUE)</f>
        <v>(|)'</v>
      </c>
      <c r="T1799" s="117">
        <f>IF(ABS(D1799-VLOOKUP($D1799,Sheet1!$M$5:$T$192,8,TRUE))&lt;10^-10,"SoCA",D1799-VLOOKUP($D1799,Sheet1!$M$5:$T$192,8,TRUE))</f>
        <v>-8.3491309560685067E-2</v>
      </c>
      <c r="U1799" s="117">
        <f>IF(VLOOKUP($D1799,Sheet1!$M$5:$U$192,9,TRUE)=0,"",IF(ABS(D1799-VLOOKUP($D1799,Sheet1!$M$5:$U$192,9,TRUE))&lt;10^-10,"Alt.",D1799-VLOOKUP($D1799,Sheet1!$M$5:$U$192,9,TRUE)))</f>
        <v>-5.6531014358249365E-2</v>
      </c>
      <c r="V1799" s="132">
        <f>$D1799-Sheet1!$M$3*$R1799</f>
        <v>-0.23852243283647567</v>
      </c>
    </row>
    <row r="1800" spans="1:22" ht="13.5">
      <c r="A1800" s="38" t="s">
        <v>1773</v>
      </c>
      <c r="B1800" s="38">
        <f>2^10*7</f>
        <v>7168</v>
      </c>
      <c r="C1800" s="38">
        <f>3^3*5^2*11</f>
        <v>7425</v>
      </c>
      <c r="D1800" s="13">
        <f t="shared" si="38"/>
        <v>60.984466221463769</v>
      </c>
      <c r="E1800" s="61">
        <v>11</v>
      </c>
      <c r="F1800" s="65">
        <v>39.291011519073457</v>
      </c>
      <c r="G1800" s="6">
        <v>209.1</v>
      </c>
      <c r="H1800" s="6">
        <v>182.1</v>
      </c>
      <c r="I1800" s="65">
        <v>-0.75503576376233816</v>
      </c>
      <c r="J1800" s="6">
        <f>VLOOKUP($D1800,Sheet1!$A$5:$C$192,3,TRUE)</f>
        <v>11</v>
      </c>
      <c r="K1800" s="42" t="str">
        <f>VLOOKUP($D1800,Sheet1!$A$5:$C$192,2,TRUE)</f>
        <v>(|)</v>
      </c>
      <c r="L1800" s="6">
        <f>FLOOR(VLOOKUP($D1800,Sheet1!$D$5:$F$192,3,TRUE),1)</f>
        <v>25</v>
      </c>
      <c r="M1800" s="42" t="str">
        <f>VLOOKUP($D1800,Sheet1!$D$5:$F$192,2,TRUE)</f>
        <v>(|)</v>
      </c>
      <c r="N1800" s="23">
        <f>FLOOR(VLOOKUP($D1800,Sheet1!$G$5:$I$192,3,TRUE),1)</f>
        <v>31</v>
      </c>
      <c r="O1800" s="42" t="str">
        <f>VLOOKUP($D1800,Sheet1!$G$5:$I$192,2,TRUE)</f>
        <v>(|)</v>
      </c>
      <c r="P1800" s="23">
        <v>1</v>
      </c>
      <c r="Q1800" s="45" t="str">
        <f>VLOOKUP($D1800,Sheet1!$J$5:$L$192,2,TRUE)</f>
        <v>(|)'</v>
      </c>
      <c r="R1800" s="38">
        <f>FLOOR(VLOOKUP($D1800,Sheet1!$M$5:$O$192,3,TRUE),1)</f>
        <v>125</v>
      </c>
      <c r="S1800" s="45" t="str">
        <f>VLOOKUP($D1800,Sheet1!$M$5:$O$192,2,TRUE)</f>
        <v>(|)'</v>
      </c>
      <c r="T1800" s="108">
        <f>IF(ABS(D1800-VLOOKUP($D1800,Sheet1!$M$5:$T$192,8,TRUE))&lt;10^-10,"SoCA",D1800-VLOOKUP($D1800,Sheet1!$M$5:$T$192,8,TRUE))</f>
        <v>0.14968722794131395</v>
      </c>
      <c r="U1800" s="108">
        <f>IF(VLOOKUP($D1800,Sheet1!$M$5:$U$192,9,TRUE)=0,"",IF(ABS(D1800-VLOOKUP($D1800,Sheet1!$M$5:$U$192,9,TRUE))&lt;10^-10,"Alt.",D1800-VLOOKUP($D1800,Sheet1!$M$5:$U$192,9,TRUE)))</f>
        <v>0.17664752314374965</v>
      </c>
      <c r="V1800" s="133">
        <f>$D1800-Sheet1!$M$3*$R1800</f>
        <v>-5.343895334476656E-3</v>
      </c>
    </row>
    <row r="1801" spans="1:22" ht="13.5">
      <c r="A1801" s="23" t="s">
        <v>2006</v>
      </c>
      <c r="B1801" s="23">
        <f>2^7*5</f>
        <v>640</v>
      </c>
      <c r="C1801" s="23">
        <f>3*13*17</f>
        <v>663</v>
      </c>
      <c r="D1801" s="13">
        <f t="shared" si="38"/>
        <v>61.124358270270399</v>
      </c>
      <c r="E1801" s="22">
        <v>17</v>
      </c>
      <c r="F1801" s="65">
        <v>42.087681271276466</v>
      </c>
      <c r="G1801" s="6">
        <v>548</v>
      </c>
      <c r="H1801" s="6">
        <v>498</v>
      </c>
      <c r="I1801" s="92">
        <v>6.7733579539442701E-2</v>
      </c>
      <c r="J1801" s="6">
        <f>VLOOKUP($D1801,Sheet1!$A$5:$C$192,3,TRUE)</f>
        <v>11</v>
      </c>
      <c r="K1801" s="42" t="str">
        <f>VLOOKUP($D1801,Sheet1!$A$5:$C$192,2,TRUE)</f>
        <v>(|)</v>
      </c>
      <c r="L1801" s="6">
        <f>FLOOR(VLOOKUP($D1801,Sheet1!$D$5:$F$192,3,TRUE),1)</f>
        <v>25</v>
      </c>
      <c r="M1801" s="42" t="str">
        <f>VLOOKUP($D1801,Sheet1!$D$5:$F$192,2,TRUE)</f>
        <v>(|)</v>
      </c>
      <c r="N1801" s="23">
        <f>FLOOR(VLOOKUP($D1801,Sheet1!$G$5:$I$192,3,TRUE),1)</f>
        <v>31</v>
      </c>
      <c r="O1801" s="42" t="str">
        <f>VLOOKUP($D1801,Sheet1!$G$5:$I$192,2,TRUE)</f>
        <v>(|)</v>
      </c>
      <c r="P1801" s="23">
        <v>1</v>
      </c>
      <c r="Q1801" s="43" t="str">
        <f>VLOOKUP($D1801,Sheet1!$J$5:$L$192,2,TRUE)</f>
        <v>(|)'</v>
      </c>
      <c r="R1801" s="23">
        <f>FLOOR(VLOOKUP($D1801,Sheet1!$M$5:$O$192,3,TRUE),1)</f>
        <v>125</v>
      </c>
      <c r="S1801" s="43" t="str">
        <f>VLOOKUP($D1801,Sheet1!$M$5:$O$192,2,TRUE)</f>
        <v>(|)'</v>
      </c>
      <c r="T1801" s="117">
        <f>IF(ABS(D1801-VLOOKUP($D1801,Sheet1!$M$5:$T$192,8,TRUE))&lt;10^-10,"SoCA",D1801-VLOOKUP($D1801,Sheet1!$M$5:$T$192,8,TRUE))</f>
        <v>0.28957927674794348</v>
      </c>
      <c r="U1801" s="117">
        <f>IF(VLOOKUP($D1801,Sheet1!$M$5:$U$192,9,TRUE)=0,"",IF(ABS(D1801-VLOOKUP($D1801,Sheet1!$M$5:$U$192,9,TRUE))&lt;10^-10,"Alt.",D1801-VLOOKUP($D1801,Sheet1!$M$5:$U$192,9,TRUE)))</f>
        <v>0.31653957195037918</v>
      </c>
      <c r="V1801" s="132">
        <f>$D1801-Sheet1!$M$3*$R1801</f>
        <v>0.13454815347215288</v>
      </c>
    </row>
    <row r="1802" spans="1:22" ht="13.5">
      <c r="A1802" s="6" t="s">
        <v>2005</v>
      </c>
      <c r="B1802" s="6">
        <f>2^16*7^2</f>
        <v>3211264</v>
      </c>
      <c r="C1802" s="6">
        <f>3^9*13^2</f>
        <v>3326427</v>
      </c>
      <c r="D1802" s="13">
        <f t="shared" si="38"/>
        <v>60.998518388858258</v>
      </c>
      <c r="E1802" s="22">
        <v>13</v>
      </c>
      <c r="F1802" s="65">
        <v>45.677133510959585</v>
      </c>
      <c r="G1802" s="6">
        <v>1153.0999999999999</v>
      </c>
      <c r="H1802" s="6">
        <v>1095.0999999999999</v>
      </c>
      <c r="I1802" s="92">
        <v>0.39127044511337911</v>
      </c>
      <c r="J1802" s="6">
        <f>VLOOKUP($D1802,Sheet1!$A$5:$C$192,3,TRUE)</f>
        <v>11</v>
      </c>
      <c r="K1802" s="42" t="str">
        <f>VLOOKUP($D1802,Sheet1!$A$5:$C$192,2,TRUE)</f>
        <v>(|)</v>
      </c>
      <c r="L1802" s="6">
        <f>FLOOR(VLOOKUP($D1802,Sheet1!$D$5:$F$192,3,TRUE),1)</f>
        <v>25</v>
      </c>
      <c r="M1802" s="42" t="str">
        <f>VLOOKUP($D1802,Sheet1!$D$5:$F$192,2,TRUE)</f>
        <v>(|)</v>
      </c>
      <c r="N1802" s="23">
        <f>FLOOR(VLOOKUP($D1802,Sheet1!$G$5:$I$192,3,TRUE),1)</f>
        <v>31</v>
      </c>
      <c r="O1802" s="42" t="str">
        <f>VLOOKUP($D1802,Sheet1!$G$5:$I$192,2,TRUE)</f>
        <v>(|)</v>
      </c>
      <c r="P1802" s="23">
        <v>1</v>
      </c>
      <c r="Q1802" s="43" t="str">
        <f>VLOOKUP($D1802,Sheet1!$J$5:$L$192,2,TRUE)</f>
        <v>(|)'</v>
      </c>
      <c r="R1802" s="23">
        <f>FLOOR(VLOOKUP($D1802,Sheet1!$M$5:$O$192,3,TRUE),1)</f>
        <v>125</v>
      </c>
      <c r="S1802" s="42" t="str">
        <f>VLOOKUP($D1802,Sheet1!$M$5:$O$192,2,TRUE)</f>
        <v>(|)'</v>
      </c>
      <c r="T1802" s="117">
        <f>IF(ABS(D1802-VLOOKUP($D1802,Sheet1!$M$5:$T$192,8,TRUE))&lt;10^-10,"SoCA",D1802-VLOOKUP($D1802,Sheet1!$M$5:$T$192,8,TRUE))</f>
        <v>0.16373939533580284</v>
      </c>
      <c r="U1802" s="109">
        <f>IF(VLOOKUP($D1802,Sheet1!$M$5:$U$192,9,TRUE)=0,"",IF(ABS(D1802-VLOOKUP($D1802,Sheet1!$M$5:$U$192,9,TRUE))&lt;10^-10,"Alt.",D1802-VLOOKUP($D1802,Sheet1!$M$5:$U$192,9,TRUE)))</f>
        <v>0.19069969053823854</v>
      </c>
      <c r="V1802" s="132">
        <f>$D1802-Sheet1!$M$3*$R1802</f>
        <v>8.7082720600122343E-3</v>
      </c>
    </row>
    <row r="1803" spans="1:22" ht="13.5">
      <c r="A1803" s="6" t="s">
        <v>2007</v>
      </c>
      <c r="B1803" s="6">
        <f>17*23</f>
        <v>391</v>
      </c>
      <c r="C1803" s="6">
        <f>3^4*5</f>
        <v>405</v>
      </c>
      <c r="D1803" s="13">
        <f t="shared" si="38"/>
        <v>60.903960557561668</v>
      </c>
      <c r="E1803" s="22">
        <v>23</v>
      </c>
      <c r="F1803" s="65">
        <v>54.182800180745005</v>
      </c>
      <c r="G1803" s="6">
        <v>717</v>
      </c>
      <c r="H1803" s="6">
        <v>603</v>
      </c>
      <c r="I1803" s="92">
        <v>1.2646088386360338E-2</v>
      </c>
      <c r="J1803" s="6">
        <f>VLOOKUP($D1803,Sheet1!$A$5:$C$192,3,TRUE)</f>
        <v>11</v>
      </c>
      <c r="K1803" s="42" t="str">
        <f>VLOOKUP($D1803,Sheet1!$A$5:$C$192,2,TRUE)</f>
        <v>(|)</v>
      </c>
      <c r="L1803" s="6">
        <f>FLOOR(VLOOKUP($D1803,Sheet1!$D$5:$F$192,3,TRUE),1)</f>
        <v>25</v>
      </c>
      <c r="M1803" s="42" t="str">
        <f>VLOOKUP($D1803,Sheet1!$D$5:$F$192,2,TRUE)</f>
        <v>(|)</v>
      </c>
      <c r="N1803" s="23">
        <f>FLOOR(VLOOKUP($D1803,Sheet1!$G$5:$I$192,3,TRUE),1)</f>
        <v>31</v>
      </c>
      <c r="O1803" s="42" t="str">
        <f>VLOOKUP($D1803,Sheet1!$G$5:$I$192,2,TRUE)</f>
        <v>(|)</v>
      </c>
      <c r="P1803" s="23">
        <v>1</v>
      </c>
      <c r="Q1803" s="43" t="str">
        <f>VLOOKUP($D1803,Sheet1!$J$5:$L$192,2,TRUE)</f>
        <v>(|)'</v>
      </c>
      <c r="R1803" s="23">
        <f>FLOOR(VLOOKUP($D1803,Sheet1!$M$5:$O$192,3,TRUE),1)</f>
        <v>125</v>
      </c>
      <c r="S1803" s="42" t="str">
        <f>VLOOKUP($D1803,Sheet1!$M$5:$O$192,2,TRUE)</f>
        <v>(|)'</v>
      </c>
      <c r="T1803" s="117">
        <f>IF(ABS(D1803-VLOOKUP($D1803,Sheet1!$M$5:$T$192,8,TRUE))&lt;10^-10,"SoCA",D1803-VLOOKUP($D1803,Sheet1!$M$5:$T$192,8,TRUE))</f>
        <v>6.9181564039212162E-2</v>
      </c>
      <c r="U1803" s="109">
        <f>IF(VLOOKUP($D1803,Sheet1!$M$5:$U$192,9,TRUE)=0,"",IF(ABS(D1803-VLOOKUP($D1803,Sheet1!$M$5:$U$192,9,TRUE))&lt;10^-10,"Alt.",D1803-VLOOKUP($D1803,Sheet1!$M$5:$U$192,9,TRUE)))</f>
        <v>9.6141859241647865E-2</v>
      </c>
      <c r="V1803" s="132">
        <f>$D1803-Sheet1!$M$3*$R1803</f>
        <v>-8.5849559236578443E-2</v>
      </c>
    </row>
    <row r="1804" spans="1:22" ht="13.5">
      <c r="A1804" s="23" t="s">
        <v>2008</v>
      </c>
      <c r="B1804" s="23">
        <f>5*7*11*13</f>
        <v>5005</v>
      </c>
      <c r="C1804" s="23">
        <f>2^6*3^4</f>
        <v>5184</v>
      </c>
      <c r="D1804" s="13">
        <f t="shared" si="38"/>
        <v>60.834778993522718</v>
      </c>
      <c r="E1804" s="22">
        <v>13</v>
      </c>
      <c r="F1804" s="65">
        <v>64.972743360032723</v>
      </c>
      <c r="G1804" s="6">
        <v>232.1</v>
      </c>
      <c r="H1804" s="6">
        <v>195.1</v>
      </c>
      <c r="I1804" s="92">
        <v>1.1983244989423101E-2</v>
      </c>
      <c r="J1804" s="6">
        <f>VLOOKUP($D1804,Sheet1!$A$5:$C$192,3,TRUE)</f>
        <v>11</v>
      </c>
      <c r="K1804" s="42" t="str">
        <f>VLOOKUP($D1804,Sheet1!$A$5:$C$192,2,TRUE)</f>
        <v>(|)</v>
      </c>
      <c r="L1804" s="6">
        <f>FLOOR(VLOOKUP($D1804,Sheet1!$D$5:$F$192,3,TRUE),1)</f>
        <v>25</v>
      </c>
      <c r="M1804" s="42" t="str">
        <f>VLOOKUP($D1804,Sheet1!$D$5:$F$192,2,TRUE)</f>
        <v>(|)</v>
      </c>
      <c r="N1804" s="23">
        <f>FLOOR(VLOOKUP($D1804,Sheet1!$G$5:$I$192,3,TRUE),1)</f>
        <v>31</v>
      </c>
      <c r="O1804" s="42" t="str">
        <f>VLOOKUP($D1804,Sheet1!$G$5:$I$192,2,TRUE)</f>
        <v>(|)</v>
      </c>
      <c r="P1804" s="23">
        <v>1</v>
      </c>
      <c r="Q1804" s="43" t="str">
        <f>VLOOKUP($D1804,Sheet1!$J$5:$L$192,2,TRUE)</f>
        <v>(|)'</v>
      </c>
      <c r="R1804" s="23">
        <f>FLOOR(VLOOKUP($D1804,Sheet1!$M$5:$O$192,3,TRUE),1)</f>
        <v>125</v>
      </c>
      <c r="S1804" s="43" t="str">
        <f>VLOOKUP($D1804,Sheet1!$M$5:$O$192,2,TRUE)</f>
        <v>(|)'</v>
      </c>
      <c r="T1804" s="124" t="str">
        <f>IF(ABS(D1804-VLOOKUP($D1804,Sheet1!$M$5:$T$192,8,TRUE))&lt;10^-10,"SoCA",D1804-VLOOKUP($D1804,Sheet1!$M$5:$T$192,8,TRUE))</f>
        <v>SoCA</v>
      </c>
      <c r="U1804" s="117">
        <f>IF(VLOOKUP($D1804,Sheet1!$M$5:$U$192,9,TRUE)=0,"",IF(ABS(D1804-VLOOKUP($D1804,Sheet1!$M$5:$U$192,9,TRUE))&lt;10^-10,"Alt.",D1804-VLOOKUP($D1804,Sheet1!$M$5:$U$192,9,TRUE)))</f>
        <v>2.6960295202698603E-2</v>
      </c>
      <c r="V1804" s="132">
        <f>$D1804-Sheet1!$M$3*$R1804</f>
        <v>-0.1550311232755277</v>
      </c>
    </row>
    <row r="1805" spans="1:22" ht="13.5">
      <c r="A1805" s="6" t="s">
        <v>1772</v>
      </c>
      <c r="B1805" s="6">
        <f>2^3*5^3*19</f>
        <v>19000</v>
      </c>
      <c r="C1805" s="6">
        <f>3^9</f>
        <v>19683</v>
      </c>
      <c r="D1805" s="13">
        <f t="shared" ref="D1805:D1869" si="39">1200*LN($C1805/$B1805)/LN(2)</f>
        <v>61.140850061679878</v>
      </c>
      <c r="E1805" s="61">
        <v>19</v>
      </c>
      <c r="F1805" s="65">
        <v>66.640722673916684</v>
      </c>
      <c r="G1805" s="6">
        <v>177.1</v>
      </c>
      <c r="H1805" s="6">
        <v>171.1</v>
      </c>
      <c r="I1805" s="65">
        <v>5.2353351134582073</v>
      </c>
      <c r="J1805" s="6">
        <f>VLOOKUP($D1805,Sheet1!$A$5:$C$192,3,TRUE)</f>
        <v>11</v>
      </c>
      <c r="K1805" s="42" t="str">
        <f>VLOOKUP($D1805,Sheet1!$A$5:$C$192,2,TRUE)</f>
        <v>(|)</v>
      </c>
      <c r="L1805" s="6">
        <f>FLOOR(VLOOKUP($D1805,Sheet1!$D$5:$F$192,3,TRUE),1)</f>
        <v>25</v>
      </c>
      <c r="M1805" s="42" t="str">
        <f>VLOOKUP($D1805,Sheet1!$D$5:$F$192,2,TRUE)</f>
        <v>(|)</v>
      </c>
      <c r="N1805" s="23">
        <f>FLOOR(VLOOKUP($D1805,Sheet1!$G$5:$I$192,3,TRUE),1)</f>
        <v>31</v>
      </c>
      <c r="O1805" s="42" t="str">
        <f>VLOOKUP($D1805,Sheet1!$G$5:$I$192,2,TRUE)</f>
        <v>(|)</v>
      </c>
      <c r="P1805" s="23">
        <v>1</v>
      </c>
      <c r="Q1805" s="43" t="str">
        <f>VLOOKUP($D1805,Sheet1!$J$5:$L$192,2,TRUE)</f>
        <v>(|)'</v>
      </c>
      <c r="R1805" s="23">
        <f>FLOOR(VLOOKUP($D1805,Sheet1!$M$5:$O$192,3,TRUE),1)</f>
        <v>125</v>
      </c>
      <c r="S1805" s="42" t="str">
        <f>VLOOKUP($D1805,Sheet1!$M$5:$O$192,2,TRUE)</f>
        <v>(|)'</v>
      </c>
      <c r="T1805" s="117">
        <f>IF(ABS(D1805-VLOOKUP($D1805,Sheet1!$M$5:$T$192,8,TRUE))&lt;10^-10,"SoCA",D1805-VLOOKUP($D1805,Sheet1!$M$5:$T$192,8,TRUE))</f>
        <v>0.30607106815742213</v>
      </c>
      <c r="U1805" s="109">
        <f>IF(VLOOKUP($D1805,Sheet1!$M$5:$U$192,9,TRUE)=0,"",IF(ABS(D1805-VLOOKUP($D1805,Sheet1!$M$5:$U$192,9,TRUE))&lt;10^-10,"Alt.",D1805-VLOOKUP($D1805,Sheet1!$M$5:$U$192,9,TRUE)))</f>
        <v>0.33303136335985783</v>
      </c>
      <c r="V1805" s="132">
        <f>$D1805-Sheet1!$M$3*$R1805</f>
        <v>0.15103994488163153</v>
      </c>
    </row>
    <row r="1806" spans="1:22" ht="13.5">
      <c r="A1806" s="23" t="s">
        <v>1774</v>
      </c>
      <c r="B1806" s="23">
        <f>2^4*19</f>
        <v>304</v>
      </c>
      <c r="C1806" s="23">
        <f>3^2*35</f>
        <v>315</v>
      </c>
      <c r="D1806" s="13">
        <f t="shared" si="39"/>
        <v>61.536605932431868</v>
      </c>
      <c r="E1806" s="61">
        <v>19</v>
      </c>
      <c r="F1806" s="65">
        <v>37.272007148458144</v>
      </c>
      <c r="G1806" s="6">
        <v>246</v>
      </c>
      <c r="H1806" s="6">
        <v>223</v>
      </c>
      <c r="I1806" s="65">
        <v>-1.7890330173211288</v>
      </c>
      <c r="J1806" s="6">
        <f>VLOOKUP($D1806,Sheet1!$A$5:$C$192,3,TRUE)</f>
        <v>11</v>
      </c>
      <c r="K1806" s="42" t="str">
        <f>VLOOKUP($D1806,Sheet1!$A$5:$C$192,2,TRUE)</f>
        <v>(|)</v>
      </c>
      <c r="L1806" s="6">
        <f>FLOOR(VLOOKUP($D1806,Sheet1!$D$5:$F$192,3,TRUE),1)</f>
        <v>25</v>
      </c>
      <c r="M1806" s="42" t="str">
        <f>VLOOKUP($D1806,Sheet1!$D$5:$F$192,2,TRUE)</f>
        <v>(|)</v>
      </c>
      <c r="N1806" s="23">
        <f>FLOOR(VLOOKUP($D1806,Sheet1!$G$5:$I$192,3,TRUE),1)</f>
        <v>31</v>
      </c>
      <c r="O1806" s="42" t="str">
        <f>VLOOKUP($D1806,Sheet1!$G$5:$I$192,2,TRUE)</f>
        <v>(|)</v>
      </c>
      <c r="P1806" s="23">
        <v>1</v>
      </c>
      <c r="Q1806" s="43" t="str">
        <f>VLOOKUP($D1806,Sheet1!$J$5:$L$192,2,TRUE)</f>
        <v>(|)''</v>
      </c>
      <c r="R1806" s="23">
        <f>FLOOR(VLOOKUP($D1806,Sheet1!$M$5:$O$192,3,TRUE),1)</f>
        <v>126</v>
      </c>
      <c r="S1806" s="43" t="str">
        <f>VLOOKUP($D1806,Sheet1!$M$5:$O$192,2,TRUE)</f>
        <v>(|)''</v>
      </c>
      <c r="T1806" s="117">
        <f>IF(ABS(D1806-VLOOKUP($D1806,Sheet1!$M$5:$T$192,8,TRUE))&lt;10^-10,"SoCA",D1806-VLOOKUP($D1806,Sheet1!$M$5:$T$192,8,TRUE))</f>
        <v>0.29201890076264192</v>
      </c>
      <c r="U1806" s="117">
        <f>IF(VLOOKUP($D1806,Sheet1!$M$5:$U$192,9,TRUE)=0,"",IF(ABS(D1806-VLOOKUP($D1806,Sheet1!$M$5:$U$192,9,TRUE))&lt;10^-10,"Alt.",D1806-VLOOKUP($D1806,Sheet1!$M$5:$U$192,9,TRUE)))</f>
        <v>0.30607106815709528</v>
      </c>
      <c r="V1806" s="132">
        <f>$D1806-Sheet1!$M$3*$R1806</f>
        <v>5.8877334699239725E-2</v>
      </c>
    </row>
    <row r="1807" spans="1:22" ht="13.5">
      <c r="A1807" s="38" t="s">
        <v>2009</v>
      </c>
      <c r="B1807" s="38">
        <f>2^18*5</f>
        <v>1310720</v>
      </c>
      <c r="C1807" s="38">
        <f>3^10*23</f>
        <v>1358127</v>
      </c>
      <c r="D1807" s="13">
        <f t="shared" si="39"/>
        <v>61.510642057454952</v>
      </c>
      <c r="E1807" s="22">
        <v>23</v>
      </c>
      <c r="F1807" s="65">
        <v>38.316738417586222</v>
      </c>
      <c r="G1807" s="6">
        <v>98.1</v>
      </c>
      <c r="H1807" s="6">
        <v>98.1</v>
      </c>
      <c r="I1807" s="92">
        <v>0.69669948667725867</v>
      </c>
      <c r="J1807" s="6">
        <f>VLOOKUP($D1807,Sheet1!$A$5:$C$192,3,TRUE)</f>
        <v>11</v>
      </c>
      <c r="K1807" s="42" t="str">
        <f>VLOOKUP($D1807,Sheet1!$A$5:$C$192,2,TRUE)</f>
        <v>(|)</v>
      </c>
      <c r="L1807" s="6">
        <f>FLOOR(VLOOKUP($D1807,Sheet1!$D$5:$F$192,3,TRUE),1)</f>
        <v>25</v>
      </c>
      <c r="M1807" s="42" t="str">
        <f>VLOOKUP($D1807,Sheet1!$D$5:$F$192,2,TRUE)</f>
        <v>(|)</v>
      </c>
      <c r="N1807" s="23">
        <f>FLOOR(VLOOKUP($D1807,Sheet1!$G$5:$I$192,3,TRUE),1)</f>
        <v>31</v>
      </c>
      <c r="O1807" s="42" t="str">
        <f>VLOOKUP($D1807,Sheet1!$G$5:$I$192,2,TRUE)</f>
        <v>(|)</v>
      </c>
      <c r="P1807" s="23">
        <v>1</v>
      </c>
      <c r="Q1807" s="45" t="str">
        <f>VLOOKUP($D1807,Sheet1!$J$5:$L$192,2,TRUE)</f>
        <v>(|)''</v>
      </c>
      <c r="R1807" s="38">
        <f>FLOOR(VLOOKUP($D1807,Sheet1!$M$5:$O$192,3,TRUE),1)</f>
        <v>126</v>
      </c>
      <c r="S1807" s="45" t="str">
        <f>VLOOKUP($D1807,Sheet1!$M$5:$O$192,2,TRUE)</f>
        <v>(|)''</v>
      </c>
      <c r="T1807" s="128">
        <f>IF(ABS(D1807-VLOOKUP($D1807,Sheet1!$M$5:$T$192,8,TRUE))&lt;10^-10,"SoCA",D1807-VLOOKUP($D1807,Sheet1!$M$5:$T$192,8,TRUE))</f>
        <v>0.26605502578572526</v>
      </c>
      <c r="U1807" s="128">
        <f>IF(VLOOKUP($D1807,Sheet1!$M$5:$U$192,9,TRUE)=0,"",IF(ABS(D1807-VLOOKUP($D1807,Sheet1!$M$5:$U$192,9,TRUE))&lt;10^-10,"Alt.",D1807-VLOOKUP($D1807,Sheet1!$M$5:$U$192,9,TRUE)))</f>
        <v>0.28010719318017863</v>
      </c>
      <c r="V1807" s="133">
        <f>$D1807-Sheet1!$M$3*$R1807</f>
        <v>3.2913459722323068E-2</v>
      </c>
    </row>
    <row r="1808" spans="1:22" ht="13.5">
      <c r="A1808" s="23" t="s">
        <v>2010</v>
      </c>
      <c r="B1808" s="23">
        <f>2*7*11^2</f>
        <v>1694</v>
      </c>
      <c r="C1808" s="23">
        <f>3^3*5*13</f>
        <v>1755</v>
      </c>
      <c r="D1808" s="13">
        <f t="shared" si="39"/>
        <v>61.244587031669148</v>
      </c>
      <c r="E1808" s="22">
        <v>13</v>
      </c>
      <c r="F1808" s="65">
        <v>56.504342468339509</v>
      </c>
      <c r="G1808" s="18">
        <v>2000000</v>
      </c>
      <c r="H1808" s="18">
        <v>2000000</v>
      </c>
      <c r="I1808" s="92">
        <v>1.8344576965967283E-2</v>
      </c>
      <c r="J1808" s="6">
        <f>VLOOKUP($D1808,Sheet1!$A$5:$C$192,3,TRUE)</f>
        <v>11</v>
      </c>
      <c r="K1808" s="42" t="str">
        <f>VLOOKUP($D1808,Sheet1!$A$5:$C$192,2,TRUE)</f>
        <v>(|)</v>
      </c>
      <c r="L1808" s="6">
        <f>FLOOR(VLOOKUP($D1808,Sheet1!$D$5:$F$192,3,TRUE),1)</f>
        <v>25</v>
      </c>
      <c r="M1808" s="42" t="str">
        <f>VLOOKUP($D1808,Sheet1!$D$5:$F$192,2,TRUE)</f>
        <v>(|)</v>
      </c>
      <c r="N1808" s="23">
        <f>FLOOR(VLOOKUP($D1808,Sheet1!$G$5:$I$192,3,TRUE),1)</f>
        <v>31</v>
      </c>
      <c r="O1808" s="42" t="str">
        <f>VLOOKUP($D1808,Sheet1!$G$5:$I$192,2,TRUE)</f>
        <v>(|)</v>
      </c>
      <c r="P1808" s="23">
        <v>1</v>
      </c>
      <c r="Q1808" s="43" t="str">
        <f>VLOOKUP($D1808,Sheet1!$J$5:$L$192,2,TRUE)</f>
        <v>(|)''</v>
      </c>
      <c r="R1808" s="23">
        <f>FLOOR(VLOOKUP($D1808,Sheet1!$M$5:$O$192,3,TRUE),1)</f>
        <v>126</v>
      </c>
      <c r="S1808" s="43" t="str">
        <f>VLOOKUP($D1808,Sheet1!$M$5:$O$192,2,TRUE)</f>
        <v>(|)''</v>
      </c>
      <c r="T1808" s="124" t="str">
        <f>IF(ABS(D1808-VLOOKUP($D1808,Sheet1!$M$5:$T$192,8,TRUE))&lt;10^-10,"SoCA",D1808-VLOOKUP($D1808,Sheet1!$M$5:$T$192,8,TRUE))</f>
        <v>SoCA</v>
      </c>
      <c r="U1808" s="117">
        <f>IF(VLOOKUP($D1808,Sheet1!$M$5:$U$192,9,TRUE)=0,"",IF(ABS(D1808-VLOOKUP($D1808,Sheet1!$M$5:$U$192,9,TRUE))&lt;10^-10,"Alt.",D1808-VLOOKUP($D1808,Sheet1!$M$5:$U$192,9,TRUE)))</f>
        <v>1.4052167394375203E-2</v>
      </c>
      <c r="V1808" s="132">
        <f>$D1808-Sheet1!$M$3*$R1808</f>
        <v>-0.23314156606348035</v>
      </c>
    </row>
    <row r="1809" spans="1:22" ht="13.5">
      <c r="A1809" s="6" t="s">
        <v>2011</v>
      </c>
      <c r="B1809" s="6">
        <f>2*3*23</f>
        <v>138</v>
      </c>
      <c r="C1809" s="6">
        <f>11*13</f>
        <v>143</v>
      </c>
      <c r="D1809" s="13">
        <f t="shared" si="39"/>
        <v>61.616256000264343</v>
      </c>
      <c r="E1809" s="22">
        <v>23</v>
      </c>
      <c r="F1809" s="65">
        <v>56.719705734931779</v>
      </c>
      <c r="G1809" s="6">
        <v>612</v>
      </c>
      <c r="H1809" s="6">
        <v>568</v>
      </c>
      <c r="I1809" s="92">
        <v>0.29820626208839335</v>
      </c>
      <c r="J1809" s="6">
        <f>VLOOKUP($D1809,Sheet1!$A$5:$C$192,3,TRUE)</f>
        <v>11</v>
      </c>
      <c r="K1809" s="42" t="str">
        <f>VLOOKUP($D1809,Sheet1!$A$5:$C$192,2,TRUE)</f>
        <v>(|)</v>
      </c>
      <c r="L1809" s="6">
        <f>FLOOR(VLOOKUP($D1809,Sheet1!$D$5:$F$192,3,TRUE),1)</f>
        <v>25</v>
      </c>
      <c r="M1809" s="42" t="str">
        <f>VLOOKUP($D1809,Sheet1!$D$5:$F$192,2,TRUE)</f>
        <v>(|)</v>
      </c>
      <c r="N1809" s="23">
        <f>FLOOR(VLOOKUP($D1809,Sheet1!$G$5:$I$192,3,TRUE),1)</f>
        <v>31</v>
      </c>
      <c r="O1809" s="42" t="str">
        <f>VLOOKUP($D1809,Sheet1!$G$5:$I$192,2,TRUE)</f>
        <v>(|)</v>
      </c>
      <c r="P1809" s="23">
        <v>1</v>
      </c>
      <c r="Q1809" s="43" t="str">
        <f>VLOOKUP($D1809,Sheet1!$J$5:$L$192,2,TRUE)</f>
        <v>(|)''</v>
      </c>
      <c r="R1809" s="23">
        <f>FLOOR(VLOOKUP($D1809,Sheet1!$M$5:$O$192,3,TRUE),1)</f>
        <v>126</v>
      </c>
      <c r="S1809" s="42" t="str">
        <f>VLOOKUP($D1809,Sheet1!$M$5:$O$192,2,TRUE)</f>
        <v>(|)''</v>
      </c>
      <c r="T1809" s="117">
        <f>IF(ABS(D1809-VLOOKUP($D1809,Sheet1!$M$5:$T$192,8,TRUE))&lt;10^-10,"SoCA",D1809-VLOOKUP($D1809,Sheet1!$M$5:$T$192,8,TRUE))</f>
        <v>0.37166896859511667</v>
      </c>
      <c r="U1809" s="109">
        <f>IF(VLOOKUP($D1809,Sheet1!$M$5:$U$192,9,TRUE)=0,"",IF(ABS(D1809-VLOOKUP($D1809,Sheet1!$M$5:$U$192,9,TRUE))&lt;10^-10,"Alt.",D1809-VLOOKUP($D1809,Sheet1!$M$5:$U$192,9,TRUE)))</f>
        <v>0.38572113598957003</v>
      </c>
      <c r="V1809" s="132">
        <f>$D1809-Sheet1!$M$3*$R1809</f>
        <v>0.13852740253171447</v>
      </c>
    </row>
    <row r="1810" spans="1:22" ht="13.5">
      <c r="A1810" s="36" t="s">
        <v>235</v>
      </c>
      <c r="B1810" s="36">
        <f>2^12*17</f>
        <v>69632</v>
      </c>
      <c r="C1810" s="36">
        <f>3^8*11</f>
        <v>72171</v>
      </c>
      <c r="D1810" s="13">
        <f t="shared" si="39"/>
        <v>62.002539787448633</v>
      </c>
      <c r="E1810" s="61">
        <v>17</v>
      </c>
      <c r="F1810" s="65">
        <v>30.575566094069206</v>
      </c>
      <c r="G1810" s="6">
        <v>69.099999999999994</v>
      </c>
      <c r="H1810" s="6">
        <v>65.099999999999994</v>
      </c>
      <c r="I1810" s="65">
        <v>4.1822777377360367</v>
      </c>
      <c r="J1810" s="6">
        <f>VLOOKUP($D1810,Sheet1!$A$5:$C$192,3,TRUE)</f>
        <v>11</v>
      </c>
      <c r="K1810" s="42" t="str">
        <f>VLOOKUP($D1810,Sheet1!$A$5:$C$192,2,TRUE)</f>
        <v>(|)</v>
      </c>
      <c r="L1810" s="6">
        <f>FLOOR(VLOOKUP($D1810,Sheet1!$D$5:$F$192,3,TRUE),1)</f>
        <v>26</v>
      </c>
      <c r="M1810" s="42" t="str">
        <f>VLOOKUP($D1810,Sheet1!$D$5:$F$192,2,TRUE)</f>
        <v>|\\</v>
      </c>
      <c r="N1810" s="23">
        <f>FLOOR(VLOOKUP($D1810,Sheet1!$G$5:$I$192,3,TRUE),1)</f>
        <v>32</v>
      </c>
      <c r="O1810" s="42" t="str">
        <f>VLOOKUP($D1810,Sheet1!$G$5:$I$192,2,TRUE)</f>
        <v>'(|)</v>
      </c>
      <c r="P1810" s="23">
        <v>1</v>
      </c>
      <c r="Q1810" s="45" t="str">
        <f>VLOOKUP($D1810,Sheet1!$J$5:$L$192,2,TRUE)</f>
        <v>'(|).</v>
      </c>
      <c r="R1810" s="38">
        <f>FLOOR(VLOOKUP($D1810,Sheet1!$M$5:$O$192,3,TRUE),1)</f>
        <v>127</v>
      </c>
      <c r="S1810" s="45" t="str">
        <f>VLOOKUP($D1810,Sheet1!$M$5:$O$192,2,TRUE)</f>
        <v>'(|).</v>
      </c>
      <c r="T1810" s="108">
        <f>IF(ABS(D1810-VLOOKUP($D1810,Sheet1!$M$5:$T$192,8,TRUE))&lt;10^-10,"SoCA",D1810-VLOOKUP($D1810,Sheet1!$M$5:$T$192,8,TRUE))</f>
        <v>5.9472337901667061E-2</v>
      </c>
      <c r="U1810" s="108">
        <f>IF(VLOOKUP($D1810,Sheet1!$M$5:$U$192,9,TRUE)=0,"",IF(ABS(D1810-VLOOKUP($D1810,Sheet1!$M$5:$U$192,9,TRUE))&lt;10^-10,"Alt.",D1810-VLOOKUP($D1810,Sheet1!$M$5:$U$192,9,TRUE)))</f>
        <v>3.2512042699231358E-2</v>
      </c>
      <c r="V1810" s="133">
        <f>$D1810-Sheet1!$M$3*$R1810</f>
        <v>3.6892708781614658E-2</v>
      </c>
    </row>
    <row r="1811" spans="1:22" ht="13.5">
      <c r="A1811" s="23" t="s">
        <v>1921</v>
      </c>
      <c r="B1811" s="23">
        <f>5*11</f>
        <v>55</v>
      </c>
      <c r="C1811" s="23">
        <f>3*19</f>
        <v>57</v>
      </c>
      <c r="D1811" s="13">
        <f t="shared" si="39"/>
        <v>61.836360768098515</v>
      </c>
      <c r="E1811" s="61">
        <v>19</v>
      </c>
      <c r="F1811" s="65">
        <v>42.089771150711343</v>
      </c>
      <c r="G1811" s="6">
        <v>195</v>
      </c>
      <c r="H1811" s="6">
        <v>180</v>
      </c>
      <c r="I1811" s="65">
        <v>-2.8074900146194475</v>
      </c>
      <c r="J1811" s="6">
        <f>VLOOKUP($D1811,Sheet1!$A$5:$C$192,3,TRUE)</f>
        <v>11</v>
      </c>
      <c r="K1811" s="42" t="str">
        <f>VLOOKUP($D1811,Sheet1!$A$5:$C$192,2,TRUE)</f>
        <v>(|)</v>
      </c>
      <c r="L1811" s="6">
        <f>FLOOR(VLOOKUP($D1811,Sheet1!$D$5:$F$192,3,TRUE),1)</f>
        <v>26</v>
      </c>
      <c r="M1811" s="42" t="str">
        <f>VLOOKUP($D1811,Sheet1!$D$5:$F$192,2,TRUE)</f>
        <v>|\\</v>
      </c>
      <c r="N1811" s="23">
        <f>FLOOR(VLOOKUP($D1811,Sheet1!$G$5:$I$192,3,TRUE),1)</f>
        <v>32</v>
      </c>
      <c r="O1811" s="42" t="str">
        <f>VLOOKUP($D1811,Sheet1!$G$5:$I$192,2,TRUE)</f>
        <v>'(|)</v>
      </c>
      <c r="P1811" s="23">
        <v>1</v>
      </c>
      <c r="Q1811" s="43" t="str">
        <f>VLOOKUP($D1811,Sheet1!$J$5:$L$192,2,TRUE)</f>
        <v>'(|).</v>
      </c>
      <c r="R1811" s="23">
        <f>FLOOR(VLOOKUP($D1811,Sheet1!$M$5:$O$192,3,TRUE),1)</f>
        <v>127</v>
      </c>
      <c r="S1811" s="43" t="str">
        <f>VLOOKUP($D1811,Sheet1!$M$5:$O$192,2,TRUE)</f>
        <v>'(|).</v>
      </c>
      <c r="T1811" s="117">
        <f>IF(ABS(D1811-VLOOKUP($D1811,Sheet1!$M$5:$T$192,8,TRUE))&lt;10^-10,"SoCA",D1811-VLOOKUP($D1811,Sheet1!$M$5:$T$192,8,TRUE))</f>
        <v>-0.10670668144845052</v>
      </c>
      <c r="U1811" s="117">
        <f>IF(VLOOKUP($D1811,Sheet1!$M$5:$U$192,9,TRUE)=0,"",IF(ABS(D1811-VLOOKUP($D1811,Sheet1!$M$5:$U$192,9,TRUE))&lt;10^-10,"Alt.",D1811-VLOOKUP($D1811,Sheet1!$M$5:$U$192,9,TRUE)))</f>
        <v>-0.13366697665088623</v>
      </c>
      <c r="V1811" s="132">
        <f>$D1811-Sheet1!$M$3*$R1811</f>
        <v>-0.12928631056850293</v>
      </c>
    </row>
    <row r="1812" spans="1:22" ht="13.5">
      <c r="A1812" s="6" t="s">
        <v>1923</v>
      </c>
      <c r="B1812" s="6">
        <f>13*19</f>
        <v>247</v>
      </c>
      <c r="C1812" s="6">
        <f>2^8</f>
        <v>256</v>
      </c>
      <c r="D1812" s="13">
        <f t="shared" si="39"/>
        <v>61.959322098386835</v>
      </c>
      <c r="E1812" s="61">
        <v>19</v>
      </c>
      <c r="F1812" s="65">
        <v>44.946834651162</v>
      </c>
      <c r="G1812" s="6">
        <v>1025</v>
      </c>
      <c r="H1812" s="6">
        <v>961</v>
      </c>
      <c r="I1812" s="65">
        <v>-3.8150611916978154</v>
      </c>
      <c r="J1812" s="6">
        <f>VLOOKUP($D1812,Sheet1!$A$5:$C$192,3,TRUE)</f>
        <v>11</v>
      </c>
      <c r="K1812" s="42" t="str">
        <f>VLOOKUP($D1812,Sheet1!$A$5:$C$192,2,TRUE)</f>
        <v>(|)</v>
      </c>
      <c r="L1812" s="6">
        <f>FLOOR(VLOOKUP($D1812,Sheet1!$D$5:$F$192,3,TRUE),1)</f>
        <v>26</v>
      </c>
      <c r="M1812" s="42" t="str">
        <f>VLOOKUP($D1812,Sheet1!$D$5:$F$192,2,TRUE)</f>
        <v>|\\</v>
      </c>
      <c r="N1812" s="23">
        <f>FLOOR(VLOOKUP($D1812,Sheet1!$G$5:$I$192,3,TRUE),1)</f>
        <v>32</v>
      </c>
      <c r="O1812" s="42" t="str">
        <f>VLOOKUP($D1812,Sheet1!$G$5:$I$192,2,TRUE)</f>
        <v>'(|)</v>
      </c>
      <c r="P1812" s="23">
        <v>1</v>
      </c>
      <c r="Q1812" s="43" t="str">
        <f>VLOOKUP($D1812,Sheet1!$J$5:$L$192,2,TRUE)</f>
        <v>'(|).</v>
      </c>
      <c r="R1812" s="23">
        <f>FLOOR(VLOOKUP($D1812,Sheet1!$M$5:$O$192,3,TRUE),1)</f>
        <v>127</v>
      </c>
      <c r="S1812" s="42" t="str">
        <f>VLOOKUP($D1812,Sheet1!$M$5:$O$192,2,TRUE)</f>
        <v>'(|).</v>
      </c>
      <c r="T1812" s="117">
        <f>IF(ABS(D1812-VLOOKUP($D1812,Sheet1!$M$5:$T$192,8,TRUE))&lt;10^-10,"SoCA",D1812-VLOOKUP($D1812,Sheet1!$M$5:$T$192,8,TRUE))</f>
        <v>1.6254648839868935E-2</v>
      </c>
      <c r="U1812" s="109">
        <f>IF(VLOOKUP($D1812,Sheet1!$M$5:$U$192,9,TRUE)=0,"",IF(ABS(D1812-VLOOKUP($D1812,Sheet1!$M$5:$U$192,9,TRUE))&lt;10^-10,"Alt.",D1812-VLOOKUP($D1812,Sheet1!$M$5:$U$192,9,TRUE)))</f>
        <v>-1.0705646362566767E-2</v>
      </c>
      <c r="V1812" s="132">
        <f>$D1812-Sheet1!$M$3*$R1812</f>
        <v>-6.3249802801834676E-3</v>
      </c>
    </row>
    <row r="1813" spans="1:22" ht="13.5">
      <c r="A1813" s="6" t="s">
        <v>2012</v>
      </c>
      <c r="B1813" s="6">
        <f>5^2*7^4</f>
        <v>60025</v>
      </c>
      <c r="C1813" s="6">
        <f>2^8*3^5</f>
        <v>62208</v>
      </c>
      <c r="D1813" s="13">
        <f t="shared" si="39"/>
        <v>61.843950720767808</v>
      </c>
      <c r="E1813" s="22">
        <v>7</v>
      </c>
      <c r="F1813" s="65">
        <v>83.949333805052561</v>
      </c>
      <c r="G1813" s="6">
        <v>486.1</v>
      </c>
      <c r="H1813" s="6">
        <v>433.1</v>
      </c>
      <c r="I1813" s="92">
        <v>2.3279845429604887E-2</v>
      </c>
      <c r="J1813" s="6">
        <f>VLOOKUP($D1813,Sheet1!$A$5:$C$192,3,TRUE)</f>
        <v>11</v>
      </c>
      <c r="K1813" s="42" t="str">
        <f>VLOOKUP($D1813,Sheet1!$A$5:$C$192,2,TRUE)</f>
        <v>(|)</v>
      </c>
      <c r="L1813" s="6">
        <f>FLOOR(VLOOKUP($D1813,Sheet1!$D$5:$F$192,3,TRUE),1)</f>
        <v>26</v>
      </c>
      <c r="M1813" s="42" t="str">
        <f>VLOOKUP($D1813,Sheet1!$D$5:$F$192,2,TRUE)</f>
        <v>|\\</v>
      </c>
      <c r="N1813" s="23">
        <f>FLOOR(VLOOKUP($D1813,Sheet1!$G$5:$I$192,3,TRUE),1)</f>
        <v>32</v>
      </c>
      <c r="O1813" s="42" t="str">
        <f>VLOOKUP($D1813,Sheet1!$G$5:$I$192,2,TRUE)</f>
        <v>'(|)</v>
      </c>
      <c r="P1813" s="23">
        <v>1</v>
      </c>
      <c r="Q1813" s="43" t="str">
        <f>VLOOKUP($D1813,Sheet1!$J$5:$L$192,2,TRUE)</f>
        <v>'(|).</v>
      </c>
      <c r="R1813" s="23">
        <f>FLOOR(VLOOKUP($D1813,Sheet1!$M$5:$O$192,3,TRUE),1)</f>
        <v>127</v>
      </c>
      <c r="S1813" s="42" t="str">
        <f>VLOOKUP($D1813,Sheet1!$M$5:$O$192,2,TRUE)</f>
        <v>'(|).</v>
      </c>
      <c r="T1813" s="117">
        <f>IF(ABS(D1813-VLOOKUP($D1813,Sheet1!$M$5:$T$192,8,TRUE))&lt;10^-10,"SoCA",D1813-VLOOKUP($D1813,Sheet1!$M$5:$T$192,8,TRUE))</f>
        <v>-9.9116728779158336E-2</v>
      </c>
      <c r="U1813" s="109">
        <f>IF(VLOOKUP($D1813,Sheet1!$M$5:$U$192,9,TRUE)=0,"",IF(ABS(D1813-VLOOKUP($D1813,Sheet1!$M$5:$U$192,9,TRUE))&lt;10^-10,"Alt.",D1813-VLOOKUP($D1813,Sheet1!$M$5:$U$192,9,TRUE)))</f>
        <v>-0.12607702398159404</v>
      </c>
      <c r="V1813" s="132">
        <f>$D1813-Sheet1!$M$3*$R1813</f>
        <v>-0.12169635789921074</v>
      </c>
    </row>
    <row r="1814" spans="1:22" ht="13.5">
      <c r="A1814" s="36" t="s">
        <v>239</v>
      </c>
      <c r="B1814" s="36">
        <f>5^4</f>
        <v>625</v>
      </c>
      <c r="C1814" s="36">
        <f>2^3*3^4</f>
        <v>648</v>
      </c>
      <c r="D1814" s="51">
        <f t="shared" si="39"/>
        <v>62.565148002210307</v>
      </c>
      <c r="E1814" s="61">
        <v>5</v>
      </c>
      <c r="F1814" s="65">
        <v>36.14606392661117</v>
      </c>
      <c r="G1814" s="6">
        <v>29.1</v>
      </c>
      <c r="H1814" s="6">
        <v>24.1</v>
      </c>
      <c r="I1814" s="65">
        <v>0.1476359002598393</v>
      </c>
      <c r="J1814" s="6">
        <f>VLOOKUP($D1814,Sheet1!$A$5:$C$192,3,TRUE)</f>
        <v>12</v>
      </c>
      <c r="K1814" s="42" t="str">
        <f>VLOOKUP($D1814,Sheet1!$A$5:$C$192,2,TRUE)</f>
        <v>(|\</v>
      </c>
      <c r="L1814" s="6">
        <f>FLOOR(VLOOKUP($D1814,Sheet1!$D$5:$F$192,3,TRUE),1)</f>
        <v>26</v>
      </c>
      <c r="M1814" s="42" t="str">
        <f>VLOOKUP($D1814,Sheet1!$D$5:$F$192,2,TRUE)</f>
        <v>|\\</v>
      </c>
      <c r="N1814" s="23">
        <f>FLOOR(VLOOKUP($D1814,Sheet1!$G$5:$I$192,3,TRUE),1)</f>
        <v>32</v>
      </c>
      <c r="O1814" s="42" t="str">
        <f>VLOOKUP($D1814,Sheet1!$G$5:$I$192,2,TRUE)</f>
        <v>.(|\</v>
      </c>
      <c r="P1814" s="23">
        <v>1</v>
      </c>
      <c r="Q1814" s="45" t="str">
        <f>VLOOKUP($D1814,Sheet1!$J$5:$L$192,2,TRUE)</f>
        <v>.(|\.</v>
      </c>
      <c r="R1814" s="38">
        <f>FLOOR(VLOOKUP($D1814,Sheet1!$M$5:$O$192,3,TRUE),1)</f>
        <v>128</v>
      </c>
      <c r="S1814" s="45" t="str">
        <f>VLOOKUP($D1814,Sheet1!$M$5:$O$192,2,TRUE)</f>
        <v>.(|\.</v>
      </c>
      <c r="T1814" s="108">
        <f>IF(ABS(D1814-VLOOKUP($D1814,Sheet1!$M$5:$T$192,8,TRUE))&lt;10^-10,"SoCA",D1814-VLOOKUP($D1814,Sheet1!$M$5:$T$192,8,TRUE))</f>
        <v>2.6960295202457019E-2</v>
      </c>
      <c r="U1814" s="112" t="str">
        <f>IF(VLOOKUP($D1814,Sheet1!$M$5:$U$192,9,TRUE)=0,"",IF(ABS(D1814-VLOOKUP($D1814,Sheet1!$M$5:$U$192,9,TRUE))&lt;10^-10,"Alt.",D1814-VLOOKUP($D1814,Sheet1!$M$5:$U$192,9,TRUE)))</f>
        <v>Alt.</v>
      </c>
      <c r="V1814" s="132">
        <f>$D1814-Sheet1!$M$3*$R1814</f>
        <v>0.11158244260890626</v>
      </c>
    </row>
    <row r="1815" spans="1:22" ht="13.5">
      <c r="A1815" s="6" t="s">
        <v>1771</v>
      </c>
      <c r="B1815" s="6">
        <f>3^2*7^3</f>
        <v>3087</v>
      </c>
      <c r="C1815" s="6">
        <f>2^7*5^2</f>
        <v>3200</v>
      </c>
      <c r="D1815" s="13">
        <f t="shared" si="39"/>
        <v>62.239706591520104</v>
      </c>
      <c r="E1815" s="61">
        <v>7</v>
      </c>
      <c r="F1815" s="65">
        <v>37.78891219750777</v>
      </c>
      <c r="G1815" s="6">
        <v>135</v>
      </c>
      <c r="H1815" s="6">
        <v>131</v>
      </c>
      <c r="I1815" s="65">
        <v>-5.8323254864363543</v>
      </c>
      <c r="J1815" s="6">
        <f>VLOOKUP($D1815,Sheet1!$A$5:$C$192,3,TRUE)</f>
        <v>11</v>
      </c>
      <c r="K1815" s="42" t="str">
        <f>VLOOKUP($D1815,Sheet1!$A$5:$C$192,2,TRUE)</f>
        <v>(|)</v>
      </c>
      <c r="L1815" s="6">
        <f>FLOOR(VLOOKUP($D1815,Sheet1!$D$5:$F$192,3,TRUE),1)</f>
        <v>26</v>
      </c>
      <c r="M1815" s="42" t="str">
        <f>VLOOKUP($D1815,Sheet1!$D$5:$F$192,2,TRUE)</f>
        <v>|\\</v>
      </c>
      <c r="N1815" s="23">
        <f>FLOOR(VLOOKUP($D1815,Sheet1!$G$5:$I$192,3,TRUE),1)</f>
        <v>32</v>
      </c>
      <c r="O1815" s="42" t="str">
        <f>VLOOKUP($D1815,Sheet1!$G$5:$I$192,2,TRUE)</f>
        <v>'(|)</v>
      </c>
      <c r="P1815" s="23">
        <v>1</v>
      </c>
      <c r="Q1815" s="43" t="str">
        <f>VLOOKUP($D1815,Sheet1!$J$5:$L$192,2,TRUE)</f>
        <v>'(|)</v>
      </c>
      <c r="R1815" s="23">
        <f>FLOOR(VLOOKUP($D1815,Sheet1!$M$5:$O$192,3,TRUE),1)</f>
        <v>128</v>
      </c>
      <c r="S1815" s="42" t="str">
        <f>VLOOKUP($D1815,Sheet1!$M$5:$O$192,2,TRUE)</f>
        <v>'(|)</v>
      </c>
      <c r="T1815" s="117">
        <f>IF(ABS(D1815-VLOOKUP($D1815,Sheet1!$M$5:$T$192,8,TRUE))&lt;10^-10,"SoCA",D1815-VLOOKUP($D1815,Sheet1!$M$5:$T$192,8,TRUE))</f>
        <v>-0.12607702398168641</v>
      </c>
      <c r="U1815" s="109" t="str">
        <f>IF(VLOOKUP($D1815,Sheet1!$M$5:$U$192,9,TRUE)=0,"",IF(ABS(D1815-VLOOKUP($D1815,Sheet1!$M$5:$U$192,9,TRUE))&lt;10^-10,"Alt.",D1815-VLOOKUP($D1815,Sheet1!$M$5:$U$192,9,TRUE)))</f>
        <v/>
      </c>
      <c r="V1815" s="132">
        <f>$D1815-Sheet1!$M$3*$R1815</f>
        <v>-0.21385896808129701</v>
      </c>
    </row>
    <row r="1816" spans="1:22" ht="13.5">
      <c r="A1816" s="6" t="s">
        <v>2013</v>
      </c>
      <c r="B1816" s="6">
        <f>11*13*17</f>
        <v>2431</v>
      </c>
      <c r="C1816" s="6">
        <f>2^3*3^2*5*7</f>
        <v>2520</v>
      </c>
      <c r="D1816" s="13">
        <f t="shared" si="39"/>
        <v>62.248608430259814</v>
      </c>
      <c r="E1816" s="22">
        <v>17</v>
      </c>
      <c r="F1816" s="65">
        <v>63.683707341743826</v>
      </c>
      <c r="G1816" s="6">
        <v>511</v>
      </c>
      <c r="H1816" s="6">
        <v>462</v>
      </c>
      <c r="I1816" s="92">
        <v>3.9432146903952435E-2</v>
      </c>
      <c r="J1816" s="6">
        <f>VLOOKUP($D1816,Sheet1!$A$5:$C$192,3,TRUE)</f>
        <v>11</v>
      </c>
      <c r="K1816" s="42" t="str">
        <f>VLOOKUP($D1816,Sheet1!$A$5:$C$192,2,TRUE)</f>
        <v>(|)</v>
      </c>
      <c r="L1816" s="6">
        <f>FLOOR(VLOOKUP($D1816,Sheet1!$D$5:$F$192,3,TRUE),1)</f>
        <v>26</v>
      </c>
      <c r="M1816" s="42" t="str">
        <f>VLOOKUP($D1816,Sheet1!$D$5:$F$192,2,TRUE)</f>
        <v>|\\</v>
      </c>
      <c r="N1816" s="23">
        <f>FLOOR(VLOOKUP($D1816,Sheet1!$G$5:$I$192,3,TRUE),1)</f>
        <v>32</v>
      </c>
      <c r="O1816" s="42" t="str">
        <f>VLOOKUP($D1816,Sheet1!$G$5:$I$192,2,TRUE)</f>
        <v>'(|)</v>
      </c>
      <c r="P1816" s="23">
        <v>1</v>
      </c>
      <c r="Q1816" s="43" t="str">
        <f>VLOOKUP($D1816,Sheet1!$J$5:$L$192,2,TRUE)</f>
        <v>'(|)</v>
      </c>
      <c r="R1816" s="23">
        <f>FLOOR(VLOOKUP($D1816,Sheet1!$M$5:$O$192,3,TRUE),1)</f>
        <v>128</v>
      </c>
      <c r="S1816" s="42" t="str">
        <f>VLOOKUP($D1816,Sheet1!$M$5:$O$192,2,TRUE)</f>
        <v>'(|)</v>
      </c>
      <c r="T1816" s="117">
        <f>IF(ABS(D1816-VLOOKUP($D1816,Sheet1!$M$5:$T$192,8,TRUE))&lt;10^-10,"SoCA",D1816-VLOOKUP($D1816,Sheet1!$M$5:$T$192,8,TRUE))</f>
        <v>-0.11717518524197601</v>
      </c>
      <c r="U1816" s="109" t="str">
        <f>IF(VLOOKUP($D1816,Sheet1!$M$5:$U$192,9,TRUE)=0,"",IF(ABS(D1816-VLOOKUP($D1816,Sheet1!$M$5:$U$192,9,TRUE))&lt;10^-10,"Alt.",D1816-VLOOKUP($D1816,Sheet1!$M$5:$U$192,9,TRUE)))</f>
        <v/>
      </c>
      <c r="V1816" s="132">
        <f>$D1816-Sheet1!$M$3*$R1816</f>
        <v>-0.20495712934158661</v>
      </c>
    </row>
    <row r="1817" spans="1:22" ht="13.5">
      <c r="A1817" s="119" t="s">
        <v>237</v>
      </c>
      <c r="B1817" s="50">
        <f>2^21*11</f>
        <v>23068672</v>
      </c>
      <c r="C1817" s="50">
        <f>3^14*5</f>
        <v>23914845</v>
      </c>
      <c r="D1817" s="13">
        <f t="shared" si="39"/>
        <v>62.365783615502089</v>
      </c>
      <c r="E1817" s="61">
        <v>11</v>
      </c>
      <c r="F1817" s="65">
        <v>155.93678612242863</v>
      </c>
      <c r="G1817" s="59">
        <v>56.1</v>
      </c>
      <c r="H1817" s="59">
        <v>117.1</v>
      </c>
      <c r="I1817" s="65">
        <v>10.159911491873469</v>
      </c>
      <c r="J1817" s="6">
        <f>VLOOKUP($D1817,Sheet1!$A$5:$C$192,3,TRUE)</f>
        <v>11</v>
      </c>
      <c r="K1817" s="42" t="str">
        <f>VLOOKUP($D1817,Sheet1!$A$5:$C$192,2,TRUE)</f>
        <v>(|)</v>
      </c>
      <c r="L1817" s="6">
        <f>FLOOR(VLOOKUP($D1817,Sheet1!$D$5:$F$192,3,TRUE),1)</f>
        <v>26</v>
      </c>
      <c r="M1817" s="42" t="str">
        <f>VLOOKUP($D1817,Sheet1!$D$5:$F$192,2,TRUE)</f>
        <v>|\\</v>
      </c>
      <c r="N1817" s="39">
        <f>FLOOR(VLOOKUP($D1817,Sheet1!$G$5:$I$192,3,TRUE),1)</f>
        <v>32</v>
      </c>
      <c r="O1817" s="44" t="str">
        <f>VLOOKUP($D1817,Sheet1!$G$5:$I$192,2,TRUE)</f>
        <v>'(|)</v>
      </c>
      <c r="P1817" s="39">
        <v>1</v>
      </c>
      <c r="Q1817" s="44" t="str">
        <f>VLOOKUP($D1817,Sheet1!$J$5:$L$192,2,TRUE)</f>
        <v>'(|)</v>
      </c>
      <c r="R1817" s="39">
        <f>FLOOR(VLOOKUP($D1817,Sheet1!$M$5:$O$192,3,TRUE),1)</f>
        <v>128</v>
      </c>
      <c r="S1817" s="44" t="str">
        <f>VLOOKUP($D1817,Sheet1!$M$5:$O$192,2,TRUE)</f>
        <v>'(|)</v>
      </c>
      <c r="T1817" s="113" t="str">
        <f>IF(ABS(D1817-VLOOKUP($D1817,Sheet1!$M$5:$T$192,8,TRUE))&lt;10^-10,"SoCA",D1817-VLOOKUP($D1817,Sheet1!$M$5:$T$192,8,TRUE))</f>
        <v>SoCA</v>
      </c>
      <c r="U1817" s="118" t="str">
        <f>IF(VLOOKUP($D1817,Sheet1!$M$5:$U$192,9,TRUE)=0,"",IF(ABS(D1817-VLOOKUP($D1817,Sheet1!$M$5:$U$192,9,TRUE))&lt;10^-10,"Alt.",D1817-VLOOKUP($D1817,Sheet1!$M$5:$U$192,9,TRUE)))</f>
        <v/>
      </c>
      <c r="V1817" s="136">
        <f>$D1817-Sheet1!$M$3*$R1817</f>
        <v>-8.778194409931217E-2</v>
      </c>
    </row>
    <row r="1818" spans="1:22" ht="13.5">
      <c r="A1818" s="48" t="s">
        <v>241</v>
      </c>
      <c r="B1818" s="48">
        <f>3^3</f>
        <v>27</v>
      </c>
      <c r="C1818" s="48">
        <f>2^2*7</f>
        <v>28</v>
      </c>
      <c r="D1818" s="51">
        <f t="shared" si="39"/>
        <v>62.960903872962582</v>
      </c>
      <c r="E1818" s="61">
        <v>7</v>
      </c>
      <c r="F1818" s="65">
        <v>9.1617700380843452</v>
      </c>
      <c r="G1818" s="25">
        <v>6</v>
      </c>
      <c r="H1818" s="6">
        <v>6</v>
      </c>
      <c r="I1818" s="65">
        <v>-6.8767322305195142</v>
      </c>
      <c r="J1818" s="6">
        <f>VLOOKUP($D1818,Sheet1!$A$5:$C$192,3,TRUE)</f>
        <v>12</v>
      </c>
      <c r="K1818" s="42" t="str">
        <f>VLOOKUP($D1818,Sheet1!$A$5:$C$192,2,TRUE)</f>
        <v>(|\</v>
      </c>
      <c r="L1818" s="6">
        <f>FLOOR(VLOOKUP($D1818,Sheet1!$D$5:$F$192,3,TRUE),1)</f>
        <v>26</v>
      </c>
      <c r="M1818" s="42" t="str">
        <f>VLOOKUP($D1818,Sheet1!$D$5:$F$192,2,TRUE)</f>
        <v>|\\</v>
      </c>
      <c r="N1818" s="39">
        <f>FLOOR(VLOOKUP($D1818,Sheet1!$G$5:$I$192,3,TRUE),1)</f>
        <v>32</v>
      </c>
      <c r="O1818" s="44" t="str">
        <f>VLOOKUP($D1818,Sheet1!$G$5:$I$192,2,TRUE)</f>
        <v>.(|\</v>
      </c>
      <c r="P1818" s="39">
        <v>1</v>
      </c>
      <c r="Q1818" s="44" t="str">
        <f>VLOOKUP($D1818,Sheet1!$J$5:$L$192,2,TRUE)</f>
        <v>.(|\</v>
      </c>
      <c r="R1818" s="39">
        <f>FLOOR(VLOOKUP($D1818,Sheet1!$M$5:$O$192,3,TRUE),1)</f>
        <v>129</v>
      </c>
      <c r="S1818" s="44" t="str">
        <f>VLOOKUP($D1818,Sheet1!$M$5:$O$192,2,TRUE)</f>
        <v>.(|\</v>
      </c>
      <c r="T1818" s="113" t="str">
        <f>IF(ABS(D1818-VLOOKUP($D1818,Sheet1!$M$5:$T$192,8,TRUE))&lt;10^-10,"SoCA",D1818-VLOOKUP($D1818,Sheet1!$M$5:$T$192,8,TRUE))</f>
        <v>SoCA</v>
      </c>
      <c r="U1818" s="118" t="str">
        <f>IF(VLOOKUP($D1818,Sheet1!$M$5:$U$192,9,TRUE)=0,"",IF(ABS(D1818-VLOOKUP($D1818,Sheet1!$M$5:$U$192,9,TRUE))&lt;10^-10,"Alt.",D1818-VLOOKUP($D1818,Sheet1!$M$5:$U$192,9,TRUE)))</f>
        <v/>
      </c>
      <c r="V1818" s="136">
        <f>$D1818-Sheet1!$M$3*$R1818</f>
        <v>1.9419832426798678E-2</v>
      </c>
    </row>
    <row r="1819" spans="1:22" ht="13.5">
      <c r="A1819" s="6" t="s">
        <v>2014</v>
      </c>
      <c r="B1819" s="6">
        <f>2^22</f>
        <v>4194304</v>
      </c>
      <c r="C1819" s="6">
        <f>3^9*13*17</f>
        <v>4349943</v>
      </c>
      <c r="D1819" s="13">
        <f t="shared" si="39"/>
        <v>63.078079058204644</v>
      </c>
      <c r="E1819" s="22">
        <v>17</v>
      </c>
      <c r="F1819" s="65">
        <v>47.233281383998438</v>
      </c>
      <c r="G1819" s="6">
        <v>501.1</v>
      </c>
      <c r="H1819" s="6">
        <v>484.1</v>
      </c>
      <c r="I1819" s="92">
        <v>0.33199066665569676</v>
      </c>
      <c r="J1819" s="6">
        <f>VLOOKUP($D1819,Sheet1!$A$5:$C$192,3,TRUE)</f>
        <v>12</v>
      </c>
      <c r="K1819" s="42" t="str">
        <f>VLOOKUP($D1819,Sheet1!$A$5:$C$192,2,TRUE)</f>
        <v>(|\</v>
      </c>
      <c r="L1819" s="6">
        <f>FLOOR(VLOOKUP($D1819,Sheet1!$D$5:$F$192,3,TRUE),1)</f>
        <v>26</v>
      </c>
      <c r="M1819" s="42" t="str">
        <f>VLOOKUP($D1819,Sheet1!$D$5:$F$192,2,TRUE)</f>
        <v>|\\</v>
      </c>
      <c r="N1819" s="23">
        <f>FLOOR(VLOOKUP($D1819,Sheet1!$G$5:$I$192,3,TRUE),1)</f>
        <v>32</v>
      </c>
      <c r="O1819" s="42" t="str">
        <f>VLOOKUP($D1819,Sheet1!$G$5:$I$192,2,TRUE)</f>
        <v>.(|\</v>
      </c>
      <c r="P1819" s="23">
        <v>1</v>
      </c>
      <c r="Q1819" s="43" t="str">
        <f>VLOOKUP($D1819,Sheet1!$J$5:$L$192,2,TRUE)</f>
        <v>.(|\</v>
      </c>
      <c r="R1819" s="23">
        <f>FLOOR(VLOOKUP($D1819,Sheet1!$M$5:$O$192,3,TRUE),1)</f>
        <v>129</v>
      </c>
      <c r="S1819" s="42" t="str">
        <f>VLOOKUP($D1819,Sheet1!$M$5:$O$192,2,TRUE)</f>
        <v>.(|\</v>
      </c>
      <c r="T1819" s="117">
        <f>IF(ABS(D1819-VLOOKUP($D1819,Sheet1!$M$5:$T$192,8,TRUE))&lt;10^-10,"SoCA",D1819-VLOOKUP($D1819,Sheet1!$M$5:$T$192,8,TRUE))</f>
        <v>0.1171751852419689</v>
      </c>
      <c r="U1819" s="109" t="str">
        <f>IF(VLOOKUP($D1819,Sheet1!$M$5:$U$192,9,TRUE)=0,"",IF(ABS(D1819-VLOOKUP($D1819,Sheet1!$M$5:$U$192,9,TRUE))&lt;10^-10,"Alt.",D1819-VLOOKUP($D1819,Sheet1!$M$5:$U$192,9,TRUE)))</f>
        <v/>
      </c>
      <c r="V1819" s="132">
        <f>$D1819-Sheet1!$M$3*$R1819</f>
        <v>0.13659501766885995</v>
      </c>
    </row>
    <row r="1820" spans="1:22" ht="13.5">
      <c r="A1820" s="6" t="s">
        <v>2015</v>
      </c>
      <c r="B1820" s="6">
        <f>2^12*5^2</f>
        <v>102400</v>
      </c>
      <c r="C1820" s="6">
        <f>3^5*19*23</f>
        <v>106191</v>
      </c>
      <c r="D1820" s="13">
        <f t="shared" si="39"/>
        <v>62.93493999798563</v>
      </c>
      <c r="E1820" s="22">
        <v>23</v>
      </c>
      <c r="F1820" s="65">
        <v>52.376608165590845</v>
      </c>
      <c r="G1820" s="6">
        <v>757.1</v>
      </c>
      <c r="H1820" s="6">
        <v>680.1</v>
      </c>
      <c r="I1820" s="92">
        <v>2.4028456919525955E-2</v>
      </c>
      <c r="J1820" s="6">
        <f>VLOOKUP($D1820,Sheet1!$A$5:$C$192,3,TRUE)</f>
        <v>12</v>
      </c>
      <c r="K1820" s="42" t="str">
        <f>VLOOKUP($D1820,Sheet1!$A$5:$C$192,2,TRUE)</f>
        <v>(|\</v>
      </c>
      <c r="L1820" s="6">
        <f>FLOOR(VLOOKUP($D1820,Sheet1!$D$5:$F$192,3,TRUE),1)</f>
        <v>26</v>
      </c>
      <c r="M1820" s="42" t="str">
        <f>VLOOKUP($D1820,Sheet1!$D$5:$F$192,2,TRUE)</f>
        <v>|\\</v>
      </c>
      <c r="N1820" s="23">
        <f>FLOOR(VLOOKUP($D1820,Sheet1!$G$5:$I$192,3,TRUE),1)</f>
        <v>32</v>
      </c>
      <c r="O1820" s="42" t="str">
        <f>VLOOKUP($D1820,Sheet1!$G$5:$I$192,2,TRUE)</f>
        <v>.(|\</v>
      </c>
      <c r="P1820" s="23">
        <v>1</v>
      </c>
      <c r="Q1820" s="43" t="str">
        <f>VLOOKUP($D1820,Sheet1!$J$5:$L$192,2,TRUE)</f>
        <v>.(|\</v>
      </c>
      <c r="R1820" s="23">
        <f>FLOOR(VLOOKUP($D1820,Sheet1!$M$5:$O$192,3,TRUE),1)</f>
        <v>129</v>
      </c>
      <c r="S1820" s="42" t="str">
        <f>VLOOKUP($D1820,Sheet1!$M$5:$O$192,2,TRUE)</f>
        <v>.(|\</v>
      </c>
      <c r="T1820" s="117">
        <f>IF(ABS(D1820-VLOOKUP($D1820,Sheet1!$M$5:$T$192,8,TRUE))&lt;10^-10,"SoCA",D1820-VLOOKUP($D1820,Sheet1!$M$5:$T$192,8,TRUE))</f>
        <v>-2.5963874977044554E-2</v>
      </c>
      <c r="U1820" s="109" t="str">
        <f>IF(VLOOKUP($D1820,Sheet1!$M$5:$U$192,9,TRUE)=0,"",IF(ABS(D1820-VLOOKUP($D1820,Sheet1!$M$5:$U$192,9,TRUE))&lt;10^-10,"Alt.",D1820-VLOOKUP($D1820,Sheet1!$M$5:$U$192,9,TRUE)))</f>
        <v/>
      </c>
      <c r="V1820" s="132">
        <f>$D1820-Sheet1!$M$3*$R1820</f>
        <v>-6.544042550153506E-3</v>
      </c>
    </row>
    <row r="1821" spans="1:22" ht="13.5">
      <c r="A1821" s="6" t="s">
        <v>2018</v>
      </c>
      <c r="B1821" s="6">
        <f>2^13*5</f>
        <v>40960</v>
      </c>
      <c r="C1821" s="6">
        <f>3^3*11^2*13</f>
        <v>42471</v>
      </c>
      <c r="D1821" s="13">
        <f t="shared" si="39"/>
        <v>62.714835230151593</v>
      </c>
      <c r="E1821" s="22">
        <v>13</v>
      </c>
      <c r="F1821" s="65">
        <v>56.101350522060635</v>
      </c>
      <c r="G1821" s="6">
        <v>744</v>
      </c>
      <c r="H1821" s="6">
        <v>655</v>
      </c>
      <c r="I1821" s="92">
        <v>1.8758911656790181E-2</v>
      </c>
      <c r="J1821" s="6">
        <f>VLOOKUP($D1821,Sheet1!$A$5:$C$192,3,TRUE)</f>
        <v>12</v>
      </c>
      <c r="K1821" s="42" t="str">
        <f>VLOOKUP($D1821,Sheet1!$A$5:$C$192,2,TRUE)</f>
        <v>(|\</v>
      </c>
      <c r="L1821" s="6">
        <f>FLOOR(VLOOKUP($D1821,Sheet1!$D$5:$F$192,3,TRUE),1)</f>
        <v>26</v>
      </c>
      <c r="M1821" s="42" t="str">
        <f>VLOOKUP($D1821,Sheet1!$D$5:$F$192,2,TRUE)</f>
        <v>|\\</v>
      </c>
      <c r="N1821" s="23">
        <f>FLOOR(VLOOKUP($D1821,Sheet1!$G$5:$I$192,3,TRUE),1)</f>
        <v>32</v>
      </c>
      <c r="O1821" s="42" t="str">
        <f>VLOOKUP($D1821,Sheet1!$G$5:$I$192,2,TRUE)</f>
        <v>.(|\</v>
      </c>
      <c r="P1821" s="23">
        <v>1</v>
      </c>
      <c r="Q1821" s="43" t="str">
        <f>VLOOKUP($D1821,Sheet1!$J$5:$L$192,2,TRUE)</f>
        <v>.(|\</v>
      </c>
      <c r="R1821" s="23">
        <f>FLOOR(VLOOKUP($D1821,Sheet1!$M$5:$O$192,3,TRUE),1)</f>
        <v>129</v>
      </c>
      <c r="S1821" s="42" t="str">
        <f>VLOOKUP($D1821,Sheet1!$M$5:$O$192,2,TRUE)</f>
        <v>.(|\</v>
      </c>
      <c r="T1821" s="117">
        <f>IF(ABS(D1821-VLOOKUP($D1821,Sheet1!$M$5:$T$192,8,TRUE))&lt;10^-10,"SoCA",D1821-VLOOKUP($D1821,Sheet1!$M$5:$T$192,8,TRUE))</f>
        <v>-0.24606864281108187</v>
      </c>
      <c r="U1821" s="109" t="str">
        <f>IF(VLOOKUP($D1821,Sheet1!$M$5:$U$192,9,TRUE)=0,"",IF(ABS(D1821-VLOOKUP($D1821,Sheet1!$M$5:$U$192,9,TRUE))&lt;10^-10,"Alt.",D1821-VLOOKUP($D1821,Sheet1!$M$5:$U$192,9,TRUE)))</f>
        <v/>
      </c>
      <c r="V1821" s="132">
        <f>$D1821-Sheet1!$M$3*$R1821</f>
        <v>-0.22664881038419082</v>
      </c>
    </row>
    <row r="1822" spans="1:22" ht="13.5">
      <c r="A1822" s="6" t="s">
        <v>2017</v>
      </c>
      <c r="B1822" s="18">
        <f>2^25*7</f>
        <v>234881024</v>
      </c>
      <c r="C1822" s="18">
        <f>3^11*5^3*11</f>
        <v>243577125</v>
      </c>
      <c r="D1822" s="13">
        <f t="shared" si="39"/>
        <v>62.938187009397772</v>
      </c>
      <c r="E1822" s="22">
        <v>11</v>
      </c>
      <c r="F1822" s="65">
        <v>74.282543047449181</v>
      </c>
      <c r="G1822" s="6">
        <v>1345.1</v>
      </c>
      <c r="H1822" s="6">
        <v>1276.0999999999999</v>
      </c>
      <c r="I1822" s="92">
        <v>1.3704572573883003</v>
      </c>
      <c r="J1822" s="6">
        <f>VLOOKUP($D1822,Sheet1!$A$5:$C$192,3,TRUE)</f>
        <v>12</v>
      </c>
      <c r="K1822" s="42" t="str">
        <f>VLOOKUP($D1822,Sheet1!$A$5:$C$192,2,TRUE)</f>
        <v>(|\</v>
      </c>
      <c r="L1822" s="6">
        <f>FLOOR(VLOOKUP($D1822,Sheet1!$D$5:$F$192,3,TRUE),1)</f>
        <v>26</v>
      </c>
      <c r="M1822" s="42" t="str">
        <f>VLOOKUP($D1822,Sheet1!$D$5:$F$192,2,TRUE)</f>
        <v>|\\</v>
      </c>
      <c r="N1822" s="23">
        <f>FLOOR(VLOOKUP($D1822,Sheet1!$G$5:$I$192,3,TRUE),1)</f>
        <v>32</v>
      </c>
      <c r="O1822" s="42" t="str">
        <f>VLOOKUP($D1822,Sheet1!$G$5:$I$192,2,TRUE)</f>
        <v>.(|\</v>
      </c>
      <c r="P1822" s="23">
        <v>1</v>
      </c>
      <c r="Q1822" s="43" t="str">
        <f>VLOOKUP($D1822,Sheet1!$J$5:$L$192,2,TRUE)</f>
        <v>.(|\</v>
      </c>
      <c r="R1822" s="23">
        <f>FLOOR(VLOOKUP($D1822,Sheet1!$M$5:$O$192,3,TRUE),1)</f>
        <v>129</v>
      </c>
      <c r="S1822" s="42" t="str">
        <f>VLOOKUP($D1822,Sheet1!$M$5:$O$192,2,TRUE)</f>
        <v>.(|\</v>
      </c>
      <c r="T1822" s="117">
        <f>IF(ABS(D1822-VLOOKUP($D1822,Sheet1!$M$5:$T$192,8,TRUE))&lt;10^-10,"SoCA",D1822-VLOOKUP($D1822,Sheet1!$M$5:$T$192,8,TRUE))</f>
        <v>-2.2716863564902212E-2</v>
      </c>
      <c r="U1822" s="109" t="str">
        <f>IF(VLOOKUP($D1822,Sheet1!$M$5:$U$192,9,TRUE)=0,"",IF(ABS(D1822-VLOOKUP($D1822,Sheet1!$M$5:$U$192,9,TRUE))&lt;10^-10,"Alt.",D1822-VLOOKUP($D1822,Sheet1!$M$5:$U$192,9,TRUE)))</f>
        <v/>
      </c>
      <c r="V1822" s="132">
        <f>$D1822-Sheet1!$M$3*$R1822</f>
        <v>-3.2970311380111639E-3</v>
      </c>
    </row>
    <row r="1823" spans="1:22" ht="13.5">
      <c r="A1823" s="23" t="s">
        <v>2016</v>
      </c>
      <c r="B1823" s="23">
        <f>2^9*7*11*13</f>
        <v>512512</v>
      </c>
      <c r="C1823" s="23">
        <f>3^12</f>
        <v>531441</v>
      </c>
      <c r="D1823" s="13">
        <f t="shared" si="39"/>
        <v>62.788499781456878</v>
      </c>
      <c r="E1823" s="22">
        <v>13</v>
      </c>
      <c r="F1823" s="65">
        <v>91.871295996642132</v>
      </c>
      <c r="G1823" s="6">
        <v>409.1</v>
      </c>
      <c r="H1823" s="6">
        <v>473.1</v>
      </c>
      <c r="I1823" s="92">
        <v>2.7128286817143237</v>
      </c>
      <c r="J1823" s="6">
        <f>VLOOKUP($D1823,Sheet1!$A$5:$C$192,3,TRUE)</f>
        <v>12</v>
      </c>
      <c r="K1823" s="42" t="str">
        <f>VLOOKUP($D1823,Sheet1!$A$5:$C$192,2,TRUE)</f>
        <v>(|\</v>
      </c>
      <c r="L1823" s="6">
        <f>FLOOR(VLOOKUP($D1823,Sheet1!$D$5:$F$192,3,TRUE),1)</f>
        <v>26</v>
      </c>
      <c r="M1823" s="42" t="str">
        <f>VLOOKUP($D1823,Sheet1!$D$5:$F$192,2,TRUE)</f>
        <v>|\\</v>
      </c>
      <c r="N1823" s="23">
        <f>FLOOR(VLOOKUP($D1823,Sheet1!$G$5:$I$192,3,TRUE),1)</f>
        <v>32</v>
      </c>
      <c r="O1823" s="42" t="str">
        <f>VLOOKUP($D1823,Sheet1!$G$5:$I$192,2,TRUE)</f>
        <v>.(|\</v>
      </c>
      <c r="P1823" s="23">
        <v>1</v>
      </c>
      <c r="Q1823" s="43" t="str">
        <f>VLOOKUP($D1823,Sheet1!$J$5:$L$192,2,TRUE)</f>
        <v>.(|\</v>
      </c>
      <c r="R1823" s="23">
        <f>FLOOR(VLOOKUP($D1823,Sheet1!$M$5:$O$192,3,TRUE),1)</f>
        <v>129</v>
      </c>
      <c r="S1823" s="43" t="str">
        <f>VLOOKUP($D1823,Sheet1!$M$5:$O$192,2,TRUE)</f>
        <v>.(|\</v>
      </c>
      <c r="T1823" s="117">
        <f>IF(ABS(D1823-VLOOKUP($D1823,Sheet1!$M$5:$T$192,8,TRUE))&lt;10^-10,"SoCA",D1823-VLOOKUP($D1823,Sheet1!$M$5:$T$192,8,TRUE))</f>
        <v>-0.17240409150579694</v>
      </c>
      <c r="U1823" s="117" t="str">
        <f>IF(VLOOKUP($D1823,Sheet1!$M$5:$U$192,9,TRUE)=0,"",IF(ABS(D1823-VLOOKUP($D1823,Sheet1!$M$5:$U$192,9,TRUE))&lt;10^-10,"Alt.",D1823-VLOOKUP($D1823,Sheet1!$M$5:$U$192,9,TRUE)))</f>
        <v/>
      </c>
      <c r="V1823" s="132">
        <f>$D1823-Sheet1!$M$3*$R1823</f>
        <v>-0.15298425907890589</v>
      </c>
    </row>
    <row r="1824" spans="1:22" ht="13.5">
      <c r="A1824" s="38" t="s">
        <v>242</v>
      </c>
      <c r="B1824" s="38">
        <f>3^5*5*13</f>
        <v>15795</v>
      </c>
      <c r="C1824" s="38">
        <f>2^14</f>
        <v>16384</v>
      </c>
      <c r="D1824" s="13">
        <f t="shared" si="39"/>
        <v>63.383620038917627</v>
      </c>
      <c r="E1824" s="22">
        <v>13</v>
      </c>
      <c r="F1824" s="65">
        <v>29.425250832928157</v>
      </c>
      <c r="G1824" s="6">
        <v>153</v>
      </c>
      <c r="H1824" s="6">
        <v>188</v>
      </c>
      <c r="I1824" s="92">
        <v>3.9604630072719784</v>
      </c>
      <c r="J1824" s="6">
        <f>VLOOKUP($D1824,Sheet1!$A$5:$C$192,3,TRUE)</f>
        <v>12</v>
      </c>
      <c r="K1824" s="42" t="str">
        <f>VLOOKUP($D1824,Sheet1!$A$5:$C$192,2,TRUE)</f>
        <v>(|\</v>
      </c>
      <c r="L1824" s="6">
        <f>FLOOR(VLOOKUP($D1824,Sheet1!$D$5:$F$192,3,TRUE),1)</f>
        <v>26</v>
      </c>
      <c r="M1824" s="42" t="str">
        <f>VLOOKUP($D1824,Sheet1!$D$5:$F$192,2,TRUE)</f>
        <v>|\\</v>
      </c>
      <c r="N1824" s="23">
        <f>FLOOR(VLOOKUP($D1824,Sheet1!$G$5:$I$192,3,TRUE),1)</f>
        <v>32</v>
      </c>
      <c r="O1824" s="42" t="str">
        <f>VLOOKUP($D1824,Sheet1!$G$5:$I$192,2,TRUE)</f>
        <v>.(|\</v>
      </c>
      <c r="P1824" s="23">
        <v>1</v>
      </c>
      <c r="Q1824" s="45" t="str">
        <f>VLOOKUP($D1824,Sheet1!$J$5:$L$192,2,TRUE)</f>
        <v>.(|\'</v>
      </c>
      <c r="R1824" s="38">
        <f>FLOOR(VLOOKUP($D1824,Sheet1!$M$5:$O$192,3,TRUE),1)</f>
        <v>130</v>
      </c>
      <c r="S1824" s="45" t="str">
        <f>VLOOKUP($D1824,Sheet1!$M$5:$O$192,2,TRUE)</f>
        <v>.(|\'</v>
      </c>
      <c r="T1824" s="112" t="str">
        <f>IF(ABS(D1824-VLOOKUP($D1824,Sheet1!$M$5:$T$192,8,TRUE))&lt;10^-10,"SoCA",D1824-VLOOKUP($D1824,Sheet1!$M$5:$T$192,8,TRUE))</f>
        <v>SoCA</v>
      </c>
      <c r="U1824" s="108">
        <f>IF(VLOOKUP($D1824,Sheet1!$M$5:$U$192,9,TRUE)=0,"",IF(ABS(D1824-VLOOKUP($D1824,Sheet1!$M$5:$U$192,9,TRUE))&lt;10^-10,"Alt.",D1824-VLOOKUP($D1824,Sheet1!$M$5:$U$192,9,TRUE)))</f>
        <v>2.69602952025636E-2</v>
      </c>
      <c r="V1824" s="133">
        <f>$D1824-Sheet1!$M$3*$R1824</f>
        <v>-4.5782482552546355E-2</v>
      </c>
    </row>
    <row r="1825" spans="1:22" ht="13.5">
      <c r="A1825" s="23" t="s">
        <v>2019</v>
      </c>
      <c r="B1825" s="23">
        <f>2^10*5*7</f>
        <v>35840</v>
      </c>
      <c r="C1825" s="23">
        <f>3^7*17</f>
        <v>37179</v>
      </c>
      <c r="D1825" s="13">
        <f t="shared" si="39"/>
        <v>63.500795224159305</v>
      </c>
      <c r="E1825" s="22">
        <v>17</v>
      </c>
      <c r="F1825" s="65">
        <v>36.094864796580033</v>
      </c>
      <c r="G1825" s="6">
        <v>200.1</v>
      </c>
      <c r="H1825" s="6">
        <v>186.1</v>
      </c>
      <c r="I1825" s="92">
        <v>8.0766977180395647E-2</v>
      </c>
      <c r="J1825" s="6">
        <f>VLOOKUP($D1825,Sheet1!$A$5:$C$192,3,TRUE)</f>
        <v>12</v>
      </c>
      <c r="K1825" s="42" t="str">
        <f>VLOOKUP($D1825,Sheet1!$A$5:$C$192,2,TRUE)</f>
        <v>(|\</v>
      </c>
      <c r="L1825" s="6">
        <f>FLOOR(VLOOKUP($D1825,Sheet1!$D$5:$F$192,3,TRUE),1)</f>
        <v>26</v>
      </c>
      <c r="M1825" s="42" t="str">
        <f>VLOOKUP($D1825,Sheet1!$D$5:$F$192,2,TRUE)</f>
        <v>|\\</v>
      </c>
      <c r="N1825" s="23">
        <f>FLOOR(VLOOKUP($D1825,Sheet1!$G$5:$I$192,3,TRUE),1)</f>
        <v>32</v>
      </c>
      <c r="O1825" s="42" t="str">
        <f>VLOOKUP($D1825,Sheet1!$G$5:$I$192,2,TRUE)</f>
        <v>.(|\</v>
      </c>
      <c r="P1825" s="23">
        <v>1</v>
      </c>
      <c r="Q1825" s="43" t="str">
        <f>VLOOKUP($D1825,Sheet1!$J$5:$L$192,2,TRUE)</f>
        <v>.(|\'</v>
      </c>
      <c r="R1825" s="23">
        <f>FLOOR(VLOOKUP($D1825,Sheet1!$M$5:$O$192,3,TRUE),1)</f>
        <v>130</v>
      </c>
      <c r="S1825" s="43" t="str">
        <f>VLOOKUP($D1825,Sheet1!$M$5:$O$192,2,TRUE)</f>
        <v>.(|\'</v>
      </c>
      <c r="T1825" s="117">
        <f>IF(ABS(D1825-VLOOKUP($D1825,Sheet1!$M$5:$T$192,8,TRUE))&lt;10^-10,"SoCA",D1825-VLOOKUP($D1825,Sheet1!$M$5:$T$192,8,TRUE))</f>
        <v>0.11717518524180548</v>
      </c>
      <c r="U1825" s="117">
        <f>IF(VLOOKUP($D1825,Sheet1!$M$5:$U$192,9,TRUE)=0,"",IF(ABS(D1825-VLOOKUP($D1825,Sheet1!$M$5:$U$192,9,TRUE))&lt;10^-10,"Alt.",D1825-VLOOKUP($D1825,Sheet1!$M$5:$U$192,9,TRUE)))</f>
        <v>0.14413548044424118</v>
      </c>
      <c r="V1825" s="132">
        <f>$D1825-Sheet1!$M$3*$R1825</f>
        <v>7.1392702689131227E-2</v>
      </c>
    </row>
    <row r="1826" spans="1:22" ht="13.5">
      <c r="A1826" s="23" t="s">
        <v>2020</v>
      </c>
      <c r="B1826" s="23">
        <f>2^17*43</f>
        <v>5636096</v>
      </c>
      <c r="C1826" s="23">
        <f>3^12*11</f>
        <v>5845851</v>
      </c>
      <c r="D1826" s="13">
        <f t="shared" si="39"/>
        <v>63.260247106888201</v>
      </c>
      <c r="E1826" s="22">
        <v>43</v>
      </c>
      <c r="F1826" s="65">
        <v>102.6025451091087</v>
      </c>
      <c r="G1826" s="6">
        <v>251.1</v>
      </c>
      <c r="H1826" s="6">
        <v>276.10000000000002</v>
      </c>
      <c r="I1826" s="92">
        <v>3.0608894742357586</v>
      </c>
      <c r="J1826" s="6">
        <f>VLOOKUP($D1826,Sheet1!$A$5:$C$192,3,TRUE)</f>
        <v>12</v>
      </c>
      <c r="K1826" s="42" t="str">
        <f>VLOOKUP($D1826,Sheet1!$A$5:$C$192,2,TRUE)</f>
        <v>(|\</v>
      </c>
      <c r="L1826" s="6">
        <f>FLOOR(VLOOKUP($D1826,Sheet1!$D$5:$F$192,3,TRUE),1)</f>
        <v>26</v>
      </c>
      <c r="M1826" s="42" t="str">
        <f>VLOOKUP($D1826,Sheet1!$D$5:$F$192,2,TRUE)</f>
        <v>|\\</v>
      </c>
      <c r="N1826" s="23">
        <f>FLOOR(VLOOKUP($D1826,Sheet1!$G$5:$I$192,3,TRUE),1)</f>
        <v>32</v>
      </c>
      <c r="O1826" s="42" t="str">
        <f>VLOOKUP($D1826,Sheet1!$G$5:$I$192,2,TRUE)</f>
        <v>.(|\</v>
      </c>
      <c r="P1826" s="23">
        <v>1</v>
      </c>
      <c r="Q1826" s="43" t="str">
        <f>VLOOKUP($D1826,Sheet1!$J$5:$L$192,2,TRUE)</f>
        <v>.(|\'</v>
      </c>
      <c r="R1826" s="23">
        <f>FLOOR(VLOOKUP($D1826,Sheet1!$M$5:$O$192,3,TRUE),1)</f>
        <v>130</v>
      </c>
      <c r="S1826" s="42" t="str">
        <f>VLOOKUP($D1826,Sheet1!$M$5:$O$192,2,TRUE)</f>
        <v>.(|\'</v>
      </c>
      <c r="T1826" s="117">
        <f>IF(ABS(D1826-VLOOKUP($D1826,Sheet1!$M$5:$T$192,8,TRUE))&lt;10^-10,"SoCA",D1826-VLOOKUP($D1826,Sheet1!$M$5:$T$192,8,TRUE))</f>
        <v>-0.123372932029298</v>
      </c>
      <c r="U1826" s="109">
        <f>IF(VLOOKUP($D1826,Sheet1!$M$5:$U$192,9,TRUE)=0,"",IF(ABS(D1826-VLOOKUP($D1826,Sheet1!$M$5:$U$192,9,TRUE))&lt;10^-10,"Alt.",D1826-VLOOKUP($D1826,Sheet1!$M$5:$U$192,9,TRUE)))</f>
        <v>-9.6412636826862297E-2</v>
      </c>
      <c r="V1826" s="132">
        <f>$D1826-Sheet1!$M$3*$R1826</f>
        <v>-0.16915541458197225</v>
      </c>
    </row>
    <row r="1827" spans="1:22" ht="13.5">
      <c r="A1827" s="23" t="s">
        <v>2021</v>
      </c>
      <c r="B1827" s="17">
        <f>2^19*7^3</f>
        <v>179830784</v>
      </c>
      <c r="C1827" s="17">
        <f>3^15*13</f>
        <v>186535791</v>
      </c>
      <c r="D1827" s="13">
        <f t="shared" si="39"/>
        <v>63.374955342747214</v>
      </c>
      <c r="E1827" s="22">
        <v>13</v>
      </c>
      <c r="F1827" s="65">
        <v>393.63599529662736</v>
      </c>
      <c r="G1827" s="59">
        <v>1703.1</v>
      </c>
      <c r="H1827" s="63">
        <v>1000072</v>
      </c>
      <c r="I1827" s="92">
        <v>21.69288593435747</v>
      </c>
      <c r="J1827" s="6">
        <f>VLOOKUP($D1827,Sheet1!$A$5:$C$192,3,TRUE)</f>
        <v>12</v>
      </c>
      <c r="K1827" s="42" t="str">
        <f>VLOOKUP($D1827,Sheet1!$A$5:$C$192,2,TRUE)</f>
        <v>(|\</v>
      </c>
      <c r="L1827" s="6">
        <f>FLOOR(VLOOKUP($D1827,Sheet1!$D$5:$F$192,3,TRUE),1)</f>
        <v>26</v>
      </c>
      <c r="M1827" s="42" t="str">
        <f>VLOOKUP($D1827,Sheet1!$D$5:$F$192,2,TRUE)</f>
        <v>|\\</v>
      </c>
      <c r="N1827" s="23">
        <f>FLOOR(VLOOKUP($D1827,Sheet1!$G$5:$I$192,3,TRUE),1)</f>
        <v>32</v>
      </c>
      <c r="O1827" s="42" t="str">
        <f>VLOOKUP($D1827,Sheet1!$G$5:$I$192,2,TRUE)</f>
        <v>.(|\</v>
      </c>
      <c r="P1827" s="23">
        <v>1</v>
      </c>
      <c r="Q1827" s="43" t="str">
        <f>VLOOKUP($D1827,Sheet1!$J$5:$L$192,2,TRUE)</f>
        <v>.(|\'</v>
      </c>
      <c r="R1827" s="23">
        <f>FLOOR(VLOOKUP($D1827,Sheet1!$M$5:$O$192,3,TRUE),1)</f>
        <v>130</v>
      </c>
      <c r="S1827" s="42" t="str">
        <f>VLOOKUP($D1827,Sheet1!$M$5:$O$192,2,TRUE)</f>
        <v>.(|\'</v>
      </c>
      <c r="T1827" s="117">
        <f>IF(ABS(D1827-VLOOKUP($D1827,Sheet1!$M$5:$T$192,8,TRUE))&lt;10^-10,"SoCA",D1827-VLOOKUP($D1827,Sheet1!$M$5:$T$192,8,TRUE))</f>
        <v>-8.6646961702854242E-3</v>
      </c>
      <c r="U1827" s="109">
        <f>IF(VLOOKUP($D1827,Sheet1!$M$5:$U$192,9,TRUE)=0,"",IF(ABS(D1827-VLOOKUP($D1827,Sheet1!$M$5:$U$192,9,TRUE))&lt;10^-10,"Alt.",D1827-VLOOKUP($D1827,Sheet1!$M$5:$U$192,9,TRUE)))</f>
        <v>1.8295599032150278E-2</v>
      </c>
      <c r="V1827" s="132">
        <f>$D1827-Sheet1!$M$3*$R1827</f>
        <v>-5.4447178722959677E-2</v>
      </c>
    </row>
    <row r="1828" spans="1:22" ht="13.5">
      <c r="A1828" s="21" t="s">
        <v>2054</v>
      </c>
      <c r="B1828" s="17">
        <f>2^14*5^4*7*11</f>
        <v>788480000</v>
      </c>
      <c r="C1828" s="17">
        <f>3^16*19</f>
        <v>817887699</v>
      </c>
      <c r="D1828" s="13">
        <f t="shared" si="39"/>
        <v>63.394325685280357</v>
      </c>
      <c r="E1828" s="22">
        <v>19</v>
      </c>
      <c r="F1828" s="65">
        <v>901.43919372472703</v>
      </c>
      <c r="G1828" s="18">
        <v>2000000</v>
      </c>
      <c r="H1828" s="18">
        <v>2000000</v>
      </c>
      <c r="I1828" s="92">
        <v>49.32607318001147</v>
      </c>
      <c r="J1828" s="6">
        <f>VLOOKUP($D1828,Sheet1!$A$5:$C$192,3,TRUE)</f>
        <v>12</v>
      </c>
      <c r="K1828" s="42" t="str">
        <f>VLOOKUP($D1828,Sheet1!$A$5:$C$192,2,TRUE)</f>
        <v>(|\</v>
      </c>
      <c r="L1828" s="6">
        <f>FLOOR(VLOOKUP($D1828,Sheet1!$D$5:$F$192,3,TRUE),1)</f>
        <v>26</v>
      </c>
      <c r="M1828" s="42" t="str">
        <f>VLOOKUP($D1828,Sheet1!$D$5:$F$192,2,TRUE)</f>
        <v>|\\</v>
      </c>
      <c r="N1828" s="23">
        <f>FLOOR(VLOOKUP($D1828,Sheet1!$G$5:$I$192,3,TRUE),1)</f>
        <v>32</v>
      </c>
      <c r="O1828" s="42" t="str">
        <f>VLOOKUP($D1828,Sheet1!$G$5:$I$192,2,TRUE)</f>
        <v>.(|\</v>
      </c>
      <c r="P1828" s="23">
        <v>1</v>
      </c>
      <c r="Q1828" s="43" t="str">
        <f>VLOOKUP($D1828,Sheet1!$J$5:$L$192,2,TRUE)</f>
        <v>.(|\'</v>
      </c>
      <c r="R1828" s="23">
        <f>FLOOR(VLOOKUP($D1828,Sheet1!$M$5:$O$192,3,TRUE),1)</f>
        <v>130</v>
      </c>
      <c r="S1828" s="43" t="str">
        <f>VLOOKUP($D1828,Sheet1!$M$5:$O$192,2,TRUE)</f>
        <v>.(|\'</v>
      </c>
      <c r="T1828" s="117">
        <f>IF(ABS(D1828-VLOOKUP($D1828,Sheet1!$M$5:$T$192,8,TRUE))&lt;10^-10,"SoCA",D1828-VLOOKUP($D1828,Sheet1!$M$5:$T$192,8,TRUE))</f>
        <v>1.070564636285809E-2</v>
      </c>
      <c r="U1828" s="117">
        <f>IF(VLOOKUP($D1828,Sheet1!$M$5:$U$192,9,TRUE)=0,"",IF(ABS(D1828-VLOOKUP($D1828,Sheet1!$M$5:$U$192,9,TRUE))&lt;10^-10,"Alt.",D1828-VLOOKUP($D1828,Sheet1!$M$5:$U$192,9,TRUE)))</f>
        <v>3.7665941565293792E-2</v>
      </c>
      <c r="V1828" s="132">
        <f>$D1828-Sheet1!$M$3*$R1828</f>
        <v>-3.5076836189816163E-2</v>
      </c>
    </row>
    <row r="1829" spans="1:22" ht="13.5">
      <c r="A1829" s="33" t="s">
        <v>244</v>
      </c>
      <c r="B1829" s="35">
        <f>2^15*11</f>
        <v>360448</v>
      </c>
      <c r="C1829" s="33">
        <f>3^9*19</f>
        <v>373977</v>
      </c>
      <c r="D1829" s="13">
        <f t="shared" si="39"/>
        <v>63.790081556032519</v>
      </c>
      <c r="E1829" s="61">
        <v>19</v>
      </c>
      <c r="F1829" s="65">
        <v>35.223344602334969</v>
      </c>
      <c r="G1829" s="6">
        <v>106.1</v>
      </c>
      <c r="H1829" s="6">
        <v>103.1</v>
      </c>
      <c r="I1829" s="65">
        <v>5.0722122786751012</v>
      </c>
      <c r="J1829" s="6">
        <f>VLOOKUP($D1829,Sheet1!$A$5:$C$192,3,TRUE)</f>
        <v>12</v>
      </c>
      <c r="K1829" s="42" t="str">
        <f>VLOOKUP($D1829,Sheet1!$A$5:$C$192,2,TRUE)</f>
        <v>(|\</v>
      </c>
      <c r="L1829" s="34">
        <f>FLOOR(VLOOKUP($D1829,Sheet1!$D$5:$F$192,3,TRUE),1)</f>
        <v>26</v>
      </c>
      <c r="M1829" s="41" t="str">
        <f>VLOOKUP($D1829,Sheet1!$D$5:$F$192,2,TRUE)</f>
        <v>|\\</v>
      </c>
      <c r="N1829" s="34">
        <f>FLOOR(VLOOKUP($D1829,Sheet1!$G$5:$I$192,3,TRUE),1)</f>
        <v>33</v>
      </c>
      <c r="O1829" s="41" t="str">
        <f>VLOOKUP($D1829,Sheet1!$G$5:$I$192,2,TRUE)</f>
        <v>|\\</v>
      </c>
      <c r="P1829" s="34">
        <v>1</v>
      </c>
      <c r="Q1829" s="41" t="str">
        <f>VLOOKUP($D1829,Sheet1!$J$5:$L$192,2,TRUE)</f>
        <v>|\\</v>
      </c>
      <c r="R1829" s="34">
        <f>FLOOR(VLOOKUP($D1829,Sheet1!$M$5:$O$192,3,TRUE),1)</f>
        <v>131</v>
      </c>
      <c r="S1829" s="41" t="str">
        <f>VLOOKUP($D1829,Sheet1!$M$5:$O$192,2,TRUE)</f>
        <v>|\\</v>
      </c>
      <c r="T1829" s="114" t="str">
        <f>IF(ABS(D1829-VLOOKUP($D1829,Sheet1!$M$5:$T$192,8,TRUE))&lt;10^-10,"SoCA",D1829-VLOOKUP($D1829,Sheet1!$M$5:$T$192,8,TRUE))</f>
        <v>SoCA</v>
      </c>
      <c r="U1829" s="126" t="str">
        <f>IF(VLOOKUP($D1829,Sheet1!$M$5:$U$192,9,TRUE)=0,"",IF(ABS(D1829-VLOOKUP($D1829,Sheet1!$M$5:$U$192,9,TRUE))&lt;10^-10,"Alt.",D1829-VLOOKUP($D1829,Sheet1!$M$5:$U$192,9,TRUE)))</f>
        <v/>
      </c>
      <c r="V1829" s="137">
        <f>$D1829-Sheet1!$M$3*$R1829</f>
        <v>-0.12723944637203743</v>
      </c>
    </row>
    <row r="1830" spans="1:22" ht="13.5">
      <c r="A1830" s="6" t="s">
        <v>2023</v>
      </c>
      <c r="B1830" s="23">
        <f>2^7*13*19</f>
        <v>31616</v>
      </c>
      <c r="C1830" s="23">
        <f>3^8*5</f>
        <v>32805</v>
      </c>
      <c r="D1830" s="13">
        <f t="shared" si="39"/>
        <v>63.913042886321108</v>
      </c>
      <c r="E1830" s="22">
        <v>19</v>
      </c>
      <c r="F1830" s="65">
        <v>47.15985675886872</v>
      </c>
      <c r="G1830" s="6">
        <v>587.1</v>
      </c>
      <c r="H1830" s="6">
        <v>546.1</v>
      </c>
      <c r="I1830" s="92">
        <v>0.16932747559550032</v>
      </c>
      <c r="J1830" s="6">
        <f>VLOOKUP($D1830,Sheet1!$A$5:$C$192,3,TRUE)</f>
        <v>12</v>
      </c>
      <c r="K1830" s="42" t="str">
        <f>VLOOKUP($D1830,Sheet1!$A$5:$C$192,2,TRUE)</f>
        <v>(|\</v>
      </c>
      <c r="L1830" s="6">
        <f>FLOOR(VLOOKUP($D1830,Sheet1!$D$5:$F$192,3,TRUE),1)</f>
        <v>26</v>
      </c>
      <c r="M1830" s="42" t="str">
        <f>VLOOKUP($D1830,Sheet1!$D$5:$F$192,2,TRUE)</f>
        <v>|\\</v>
      </c>
      <c r="N1830" s="23">
        <f>FLOOR(VLOOKUP($D1830,Sheet1!$G$5:$I$192,3,TRUE),1)</f>
        <v>33</v>
      </c>
      <c r="O1830" s="42" t="str">
        <f>VLOOKUP($D1830,Sheet1!$G$5:$I$192,2,TRUE)</f>
        <v>|\\</v>
      </c>
      <c r="P1830" s="23">
        <v>1</v>
      </c>
      <c r="Q1830" s="43" t="str">
        <f>VLOOKUP($D1830,Sheet1!$J$5:$L$192,2,TRUE)</f>
        <v>|\\</v>
      </c>
      <c r="R1830" s="23">
        <f>FLOOR(VLOOKUP($D1830,Sheet1!$M$5:$O$192,3,TRUE),1)</f>
        <v>131</v>
      </c>
      <c r="S1830" s="42" t="str">
        <f>VLOOKUP($D1830,Sheet1!$M$5:$O$192,2,TRUE)</f>
        <v>|\\</v>
      </c>
      <c r="T1830" s="117">
        <f>IF(ABS(D1830-VLOOKUP($D1830,Sheet1!$M$5:$T$192,8,TRUE))&lt;10^-10,"SoCA",D1830-VLOOKUP($D1830,Sheet1!$M$5:$T$192,8,TRUE))</f>
        <v>0.12296133028858947</v>
      </c>
      <c r="U1830" s="109" t="str">
        <f>IF(VLOOKUP($D1830,Sheet1!$M$5:$U$192,9,TRUE)=0,"",IF(ABS(D1830-VLOOKUP($D1830,Sheet1!$M$5:$U$192,9,TRUE))&lt;10^-10,"Alt.",D1830-VLOOKUP($D1830,Sheet1!$M$5:$U$192,9,TRUE)))</f>
        <v/>
      </c>
      <c r="V1830" s="132">
        <f>$D1830-Sheet1!$M$3*$R1830</f>
        <v>-4.2781160834479692E-3</v>
      </c>
    </row>
    <row r="1831" spans="1:22" ht="13.5">
      <c r="A1831" s="6" t="s">
        <v>2024</v>
      </c>
      <c r="B1831" s="23">
        <f>7*19</f>
        <v>133</v>
      </c>
      <c r="C1831" s="23">
        <f>2*3*23</f>
        <v>138</v>
      </c>
      <c r="D1831" s="13">
        <f t="shared" si="39"/>
        <v>63.890425532375438</v>
      </c>
      <c r="E1831" s="22">
        <v>23</v>
      </c>
      <c r="F1831" s="65">
        <v>58.904715322099598</v>
      </c>
      <c r="G1831" s="6">
        <v>936</v>
      </c>
      <c r="H1831" s="6">
        <v>866</v>
      </c>
      <c r="I1831" s="92">
        <v>8.2994848917234937E-2</v>
      </c>
      <c r="J1831" s="6">
        <f>VLOOKUP($D1831,Sheet1!$A$5:$C$192,3,TRUE)</f>
        <v>12</v>
      </c>
      <c r="K1831" s="42" t="str">
        <f>VLOOKUP($D1831,Sheet1!$A$5:$C$192,2,TRUE)</f>
        <v>(|\</v>
      </c>
      <c r="L1831" s="6">
        <f>FLOOR(VLOOKUP($D1831,Sheet1!$D$5:$F$192,3,TRUE),1)</f>
        <v>26</v>
      </c>
      <c r="M1831" s="42" t="str">
        <f>VLOOKUP($D1831,Sheet1!$D$5:$F$192,2,TRUE)</f>
        <v>|\\</v>
      </c>
      <c r="N1831" s="23">
        <f>FLOOR(VLOOKUP($D1831,Sheet1!$G$5:$I$192,3,TRUE),1)</f>
        <v>33</v>
      </c>
      <c r="O1831" s="42" t="str">
        <f>VLOOKUP($D1831,Sheet1!$G$5:$I$192,2,TRUE)</f>
        <v>|\\</v>
      </c>
      <c r="P1831" s="23">
        <v>1</v>
      </c>
      <c r="Q1831" s="43" t="str">
        <f>VLOOKUP($D1831,Sheet1!$J$5:$L$192,2,TRUE)</f>
        <v>|\\</v>
      </c>
      <c r="R1831" s="23">
        <f>FLOOR(VLOOKUP($D1831,Sheet1!$M$5:$O$192,3,TRUE),1)</f>
        <v>131</v>
      </c>
      <c r="S1831" s="42" t="str">
        <f>VLOOKUP($D1831,Sheet1!$M$5:$O$192,2,TRUE)</f>
        <v>|\\</v>
      </c>
      <c r="T1831" s="117">
        <f>IF(ABS(D1831-VLOOKUP($D1831,Sheet1!$M$5:$T$192,8,TRUE))&lt;10^-10,"SoCA",D1831-VLOOKUP($D1831,Sheet1!$M$5:$T$192,8,TRUE))</f>
        <v>0.10034397634291992</v>
      </c>
      <c r="U1831" s="109" t="str">
        <f>IF(VLOOKUP($D1831,Sheet1!$M$5:$U$192,9,TRUE)=0,"",IF(ABS(D1831-VLOOKUP($D1831,Sheet1!$M$5:$U$192,9,TRUE))&lt;10^-10,"Alt.",D1831-VLOOKUP($D1831,Sheet1!$M$5:$U$192,9,TRUE)))</f>
        <v/>
      </c>
      <c r="V1831" s="132">
        <f>$D1831-Sheet1!$M$3*$R1831</f>
        <v>-2.6895470029117519E-2</v>
      </c>
    </row>
    <row r="1832" spans="1:22" ht="13.5">
      <c r="A1832" s="23" t="s">
        <v>2022</v>
      </c>
      <c r="B1832" s="17">
        <f>2^24*5^2</f>
        <v>419430400</v>
      </c>
      <c r="C1832" s="17">
        <f>3^14*7*13</f>
        <v>435250179</v>
      </c>
      <c r="D1832" s="13">
        <f t="shared" si="39"/>
        <v>64.096152624189756</v>
      </c>
      <c r="E1832" s="22">
        <v>13</v>
      </c>
      <c r="F1832" s="65">
        <v>197.01327917896879</v>
      </c>
      <c r="G1832" s="6">
        <v>1456.1</v>
      </c>
      <c r="H1832" s="6">
        <v>1534.1</v>
      </c>
      <c r="I1832" s="92">
        <v>10.171976224001218</v>
      </c>
      <c r="J1832" s="6">
        <f>VLOOKUP($D1832,Sheet1!$A$5:$C$192,3,TRUE)</f>
        <v>12</v>
      </c>
      <c r="K1832" s="42" t="str">
        <f>VLOOKUP($D1832,Sheet1!$A$5:$C$192,2,TRUE)</f>
        <v>(|\</v>
      </c>
      <c r="L1832" s="6">
        <f>FLOOR(VLOOKUP($D1832,Sheet1!$D$5:$F$192,3,TRUE),1)</f>
        <v>26</v>
      </c>
      <c r="M1832" s="42" t="str">
        <f>VLOOKUP($D1832,Sheet1!$D$5:$F$192,2,TRUE)</f>
        <v>|\\</v>
      </c>
      <c r="N1832" s="23">
        <f>FLOOR(VLOOKUP($D1832,Sheet1!$G$5:$I$192,3,TRUE),1)</f>
        <v>33</v>
      </c>
      <c r="O1832" s="42" t="str">
        <f>VLOOKUP($D1832,Sheet1!$G$5:$I$192,2,TRUE)</f>
        <v>|\\</v>
      </c>
      <c r="P1832" s="23">
        <v>1</v>
      </c>
      <c r="Q1832" s="43" t="str">
        <f>VLOOKUP($D1832,Sheet1!$J$5:$L$192,2,TRUE)</f>
        <v>|\\</v>
      </c>
      <c r="R1832" s="23">
        <f>FLOOR(VLOOKUP($D1832,Sheet1!$M$5:$O$192,3,TRUE),1)</f>
        <v>131</v>
      </c>
      <c r="S1832" s="43" t="str">
        <f>VLOOKUP($D1832,Sheet1!$M$5:$O$192,2,TRUE)</f>
        <v>|\\</v>
      </c>
      <c r="T1832" s="117">
        <f>IF(ABS(D1832-VLOOKUP($D1832,Sheet1!$M$5:$T$192,8,TRUE))&lt;10^-10,"SoCA",D1832-VLOOKUP($D1832,Sheet1!$M$5:$T$192,8,TRUE))</f>
        <v>0.30607106815723739</v>
      </c>
      <c r="U1832" s="117" t="str">
        <f>IF(VLOOKUP($D1832,Sheet1!$M$5:$U$192,9,TRUE)=0,"",IF(ABS(D1832-VLOOKUP($D1832,Sheet1!$M$5:$U$192,9,TRUE))&lt;10^-10,"Alt.",D1832-VLOOKUP($D1832,Sheet1!$M$5:$U$192,9,TRUE)))</f>
        <v/>
      </c>
      <c r="V1832" s="132">
        <f>$D1832-Sheet1!$M$3*$R1832</f>
        <v>0.17883162178519996</v>
      </c>
    </row>
    <row r="1833" spans="1:22" ht="13.5">
      <c r="A1833" s="40" t="s">
        <v>2025</v>
      </c>
      <c r="B1833" s="40">
        <f>2^8*7^3</f>
        <v>87808</v>
      </c>
      <c r="C1833" s="40">
        <f>3^6*5^3</f>
        <v>91125</v>
      </c>
      <c r="D1833" s="13">
        <f t="shared" si="39"/>
        <v>64.193427379454349</v>
      </c>
      <c r="E1833" s="22">
        <v>7</v>
      </c>
      <c r="F1833" s="65">
        <v>36.684572203080087</v>
      </c>
      <c r="G1833" s="6">
        <v>164.1</v>
      </c>
      <c r="H1833" s="6">
        <v>150.1</v>
      </c>
      <c r="I1833" s="92">
        <v>4.153174290686646E-2</v>
      </c>
      <c r="J1833" s="6">
        <f>VLOOKUP($D1833,Sheet1!$A$5:$C$192,3,TRUE)</f>
        <v>12</v>
      </c>
      <c r="K1833" s="42" t="str">
        <f>VLOOKUP($D1833,Sheet1!$A$5:$C$192,2,TRUE)</f>
        <v>(|\</v>
      </c>
      <c r="L1833" s="6">
        <f>FLOOR(VLOOKUP($D1833,Sheet1!$D$5:$F$192,3,TRUE),1)</f>
        <v>27</v>
      </c>
      <c r="M1833" s="42" t="str">
        <f>VLOOKUP($D1833,Sheet1!$D$5:$F$192,2,TRUE)</f>
        <v>(|\</v>
      </c>
      <c r="N1833" s="23">
        <f>FLOOR(VLOOKUP($D1833,Sheet1!$G$5:$I$192,3,TRUE),1)</f>
        <v>33</v>
      </c>
      <c r="O1833" s="42" t="str">
        <f>VLOOKUP($D1833,Sheet1!$G$5:$I$192,2,TRUE)</f>
        <v>(|\</v>
      </c>
      <c r="P1833" s="23">
        <v>1</v>
      </c>
      <c r="Q1833" s="43" t="str">
        <f>VLOOKUP($D1833,Sheet1!$J$5:$L$192,2,TRUE)</f>
        <v>(|\.</v>
      </c>
      <c r="R1833" s="40">
        <f>FLOOR(VLOOKUP($D1833,Sheet1!$M$5:$O$192,3,TRUE),1)</f>
        <v>132</v>
      </c>
      <c r="S1833" s="46" t="str">
        <f>VLOOKUP($D1833,Sheet1!$M$5:$O$192,2,TRUE)</f>
        <v>|\\'</v>
      </c>
      <c r="T1833" s="115">
        <f>IF(ABS(D1833-VLOOKUP($D1833,Sheet1!$M$5:$T$192,8,TRUE))&lt;10^-10,"SoCA",D1833-VLOOKUP($D1833,Sheet1!$M$5:$T$192,8,TRUE))</f>
        <v>-1.93703425329943E-2</v>
      </c>
      <c r="U1833" s="115">
        <f>IF(VLOOKUP($D1833,Sheet1!$M$5:$U$192,9,TRUE)=0,"",IF(ABS(D1833-VLOOKUP($D1833,Sheet1!$M$5:$U$192,9,TRUE))&lt;10^-10,"Alt.",D1833-VLOOKUP($D1833,Sheet1!$M$5:$U$192,9,TRUE)))</f>
        <v>7.5899526694342967E-3</v>
      </c>
      <c r="V1833" s="132">
        <f>$D1833-Sheet1!$M$3*$R1833</f>
        <v>-0.21181210388459704</v>
      </c>
    </row>
    <row r="1834" spans="1:22" ht="13.5">
      <c r="A1834" s="36" t="s">
        <v>246</v>
      </c>
      <c r="B1834" s="36">
        <f>2^12*5^3</f>
        <v>512000</v>
      </c>
      <c r="C1834" s="36">
        <f>3^12</f>
        <v>531441</v>
      </c>
      <c r="D1834" s="13">
        <f t="shared" si="39"/>
        <v>64.518868790144666</v>
      </c>
      <c r="E1834" s="61">
        <v>5</v>
      </c>
      <c r="F1834" s="65">
        <v>58.095859143333364</v>
      </c>
      <c r="G1834" s="6">
        <v>25.1</v>
      </c>
      <c r="H1834" s="6">
        <v>29.1</v>
      </c>
      <c r="I1834" s="65">
        <v>8.0273381935543675</v>
      </c>
      <c r="J1834" s="6">
        <f>VLOOKUP($D1834,Sheet1!$A$5:$C$192,3,TRUE)</f>
        <v>12</v>
      </c>
      <c r="K1834" s="42" t="str">
        <f>VLOOKUP($D1834,Sheet1!$A$5:$C$192,2,TRUE)</f>
        <v>(|\</v>
      </c>
      <c r="L1834" s="6">
        <f>FLOOR(VLOOKUP($D1834,Sheet1!$D$5:$F$192,3,TRUE),1)</f>
        <v>27</v>
      </c>
      <c r="M1834" s="42" t="str">
        <f>VLOOKUP($D1834,Sheet1!$D$5:$F$192,2,TRUE)</f>
        <v>(|\</v>
      </c>
      <c r="N1834" s="23">
        <f>FLOOR(VLOOKUP($D1834,Sheet1!$G$5:$I$192,3,TRUE),1)</f>
        <v>33</v>
      </c>
      <c r="O1834" s="42" t="str">
        <f>VLOOKUP($D1834,Sheet1!$G$5:$I$192,2,TRUE)</f>
        <v>(|\</v>
      </c>
      <c r="P1834" s="23">
        <v>1</v>
      </c>
      <c r="Q1834" s="45" t="str">
        <f>VLOOKUP($D1834,Sheet1!$J$5:$L$192,2,TRUE)</f>
        <v>(|\.</v>
      </c>
      <c r="R1834" s="38">
        <f>FLOOR(VLOOKUP($D1834,Sheet1!$M$5:$O$192,3,TRUE),1)</f>
        <v>132</v>
      </c>
      <c r="S1834" s="45" t="str">
        <f>VLOOKUP($D1834,Sheet1!$M$5:$O$192,2,TRUE)</f>
        <v>(|\.</v>
      </c>
      <c r="T1834" s="108">
        <f>IF(ABS(D1834-VLOOKUP($D1834,Sheet1!$M$5:$T$192,8,TRUE))&lt;10^-10,"SoCA",D1834-VLOOKUP($D1834,Sheet1!$M$5:$T$192,8,TRUE))</f>
        <v>2.6960295202655971E-2</v>
      </c>
      <c r="U1834" s="112" t="str">
        <f>IF(VLOOKUP($D1834,Sheet1!$M$5:$U$192,9,TRUE)=0,"",IF(ABS(D1834-VLOOKUP($D1834,Sheet1!$M$5:$U$192,9,TRUE))&lt;10^-10,"Alt.",D1834-VLOOKUP($D1834,Sheet1!$M$5:$U$192,9,TRUE)))</f>
        <v>Alt.</v>
      </c>
      <c r="V1834" s="133">
        <f>$D1834-Sheet1!$M$3*$R1834</f>
        <v>0.11362930680571992</v>
      </c>
    </row>
    <row r="1835" spans="1:22" ht="13.5">
      <c r="A1835" s="80" t="s">
        <v>248</v>
      </c>
      <c r="B1835" s="80">
        <f>2^13</f>
        <v>8192</v>
      </c>
      <c r="C1835" s="84">
        <f>3^5*5*7</f>
        <v>8505</v>
      </c>
      <c r="D1835" s="51">
        <f t="shared" si="39"/>
        <v>64.914624660896834</v>
      </c>
      <c r="E1835" s="61">
        <v>7</v>
      </c>
      <c r="F1835" s="65">
        <v>17.047870830806605</v>
      </c>
      <c r="G1835" s="6">
        <v>11.1</v>
      </c>
      <c r="H1835" s="6">
        <v>10.1</v>
      </c>
      <c r="I1835" s="65">
        <v>1.0029700627750198</v>
      </c>
      <c r="J1835" s="81">
        <f>VLOOKUP($D1835,Sheet1!$A$5:$C$192,3,TRUE)</f>
        <v>12</v>
      </c>
      <c r="K1835" s="82" t="str">
        <f>VLOOKUP($D1835,Sheet1!$A$5:$C$192,2,TRUE)</f>
        <v>(|\</v>
      </c>
      <c r="L1835" s="81">
        <f>FLOOR(VLOOKUP($D1835,Sheet1!$D$5:$F$192,3,TRUE),1)</f>
        <v>27</v>
      </c>
      <c r="M1835" s="82" t="str">
        <f>VLOOKUP($D1835,Sheet1!$D$5:$F$192,2,TRUE)</f>
        <v>(|\</v>
      </c>
      <c r="N1835" s="81">
        <f>FLOOR(VLOOKUP($D1835,Sheet1!$G$5:$I$192,3,TRUE),1)</f>
        <v>33</v>
      </c>
      <c r="O1835" s="82" t="str">
        <f>VLOOKUP($D1835,Sheet1!$G$5:$I$192,2,TRUE)</f>
        <v>(|\</v>
      </c>
      <c r="P1835" s="81">
        <v>1</v>
      </c>
      <c r="Q1835" s="82" t="str">
        <f>VLOOKUP($D1835,Sheet1!$J$5:$L$192,2,TRUE)</f>
        <v>(|\</v>
      </c>
      <c r="R1835" s="81">
        <f>FLOOR(VLOOKUP($D1835,Sheet1!$M$5:$O$192,3,TRUE),1)</f>
        <v>133</v>
      </c>
      <c r="S1835" s="82" t="str">
        <f>VLOOKUP($D1835,Sheet1!$M$5:$O$192,2,TRUE)</f>
        <v>(|\</v>
      </c>
      <c r="T1835" s="111" t="str">
        <f>IF(ABS(D1835-VLOOKUP($D1835,Sheet1!$M$5:$T$192,8,TRUE))&lt;10^-10,"SoCA",D1835-VLOOKUP($D1835,Sheet1!$M$5:$T$192,8,TRUE))</f>
        <v>SoCA</v>
      </c>
      <c r="U1835" s="110" t="str">
        <f>IF(VLOOKUP($D1835,Sheet1!$M$5:$U$192,9,TRUE)=0,"",IF(ABS(D1835-VLOOKUP($D1835,Sheet1!$M$5:$U$192,9,TRUE))&lt;10^-10,"Alt.",D1835-VLOOKUP($D1835,Sheet1!$M$5:$U$192,9,TRUE)))</f>
        <v/>
      </c>
      <c r="V1835" s="135">
        <f>$D1835-Sheet1!$M$3*$R1835</f>
        <v>2.1466696623505754E-2</v>
      </c>
    </row>
    <row r="1836" spans="1:22" ht="13.5">
      <c r="A1836" s="23" t="s">
        <v>2026</v>
      </c>
      <c r="B1836" s="6">
        <f>2^16*5*7</f>
        <v>2293760</v>
      </c>
      <c r="C1836" s="6">
        <f>3^9*11^2</f>
        <v>2381643</v>
      </c>
      <c r="D1836" s="13">
        <f t="shared" si="39"/>
        <v>65.091272184040449</v>
      </c>
      <c r="E1836" s="22">
        <v>11</v>
      </c>
      <c r="F1836" s="65">
        <v>39.382871231688831</v>
      </c>
      <c r="G1836" s="6">
        <v>205.1</v>
      </c>
      <c r="H1836" s="6">
        <v>196.1</v>
      </c>
      <c r="I1836" s="92">
        <v>0.31501014790336335</v>
      </c>
      <c r="J1836" s="6">
        <f>VLOOKUP($D1836,Sheet1!$A$5:$C$192,3,TRUE)</f>
        <v>12</v>
      </c>
      <c r="K1836" s="42" t="str">
        <f>VLOOKUP($D1836,Sheet1!$A$5:$C$192,2,TRUE)</f>
        <v>(|\</v>
      </c>
      <c r="L1836" s="6">
        <f>FLOOR(VLOOKUP($D1836,Sheet1!$D$5:$F$192,3,TRUE),1)</f>
        <v>27</v>
      </c>
      <c r="M1836" s="42" t="str">
        <f>VLOOKUP($D1836,Sheet1!$D$5:$F$192,2,TRUE)</f>
        <v>(|\</v>
      </c>
      <c r="N1836" s="23">
        <f>FLOOR(VLOOKUP($D1836,Sheet1!$G$5:$I$192,3,TRUE),1)</f>
        <v>33</v>
      </c>
      <c r="O1836" s="42" t="str">
        <f>VLOOKUP($D1836,Sheet1!$G$5:$I$192,2,TRUE)</f>
        <v>(|\</v>
      </c>
      <c r="P1836" s="23">
        <v>1</v>
      </c>
      <c r="Q1836" s="43" t="str">
        <f>VLOOKUP($D1836,Sheet1!$J$5:$L$192,2,TRUE)</f>
        <v>(|\</v>
      </c>
      <c r="R1836" s="23">
        <f>FLOOR(VLOOKUP($D1836,Sheet1!$M$5:$O$192,3,TRUE),1)</f>
        <v>133</v>
      </c>
      <c r="S1836" s="42" t="str">
        <f>VLOOKUP($D1836,Sheet1!$M$5:$O$192,2,TRUE)</f>
        <v>(|\</v>
      </c>
      <c r="T1836" s="117">
        <f>IF(ABS(D1836-VLOOKUP($D1836,Sheet1!$M$5:$T$192,8,TRUE))&lt;10^-10,"SoCA",D1836-VLOOKUP($D1836,Sheet1!$M$5:$T$192,8,TRUE))</f>
        <v>0.17664752314361465</v>
      </c>
      <c r="U1836" s="109" t="str">
        <f>IF(VLOOKUP($D1836,Sheet1!$M$5:$U$192,9,TRUE)=0,"",IF(ABS(D1836-VLOOKUP($D1836,Sheet1!$M$5:$U$192,9,TRUE))&lt;10^-10,"Alt.",D1836-VLOOKUP($D1836,Sheet1!$M$5:$U$192,9,TRUE)))</f>
        <v/>
      </c>
      <c r="V1836" s="132">
        <f>$D1836-Sheet1!$M$3*$R1836</f>
        <v>0.1981142197671204</v>
      </c>
    </row>
    <row r="1837" spans="1:22" ht="13.5">
      <c r="A1837" s="23" t="s">
        <v>2027</v>
      </c>
      <c r="B1837" s="17">
        <f>2^28</f>
        <v>268435456</v>
      </c>
      <c r="C1837" s="17">
        <f>3^11*11^2*13</f>
        <v>278652231</v>
      </c>
      <c r="D1837" s="13">
        <f t="shared" si="39"/>
        <v>64.668556018085596</v>
      </c>
      <c r="E1837" s="22">
        <v>13</v>
      </c>
      <c r="F1837" s="65">
        <v>77.719225519340227</v>
      </c>
      <c r="G1837" s="6">
        <v>1329.1</v>
      </c>
      <c r="H1837" s="6">
        <v>1262.0999999999999</v>
      </c>
      <c r="I1837" s="92">
        <v>1.29278918063059</v>
      </c>
      <c r="J1837" s="6">
        <f>VLOOKUP($D1837,Sheet1!$A$5:$C$192,3,TRUE)</f>
        <v>12</v>
      </c>
      <c r="K1837" s="42" t="str">
        <f>VLOOKUP($D1837,Sheet1!$A$5:$C$192,2,TRUE)</f>
        <v>(|\</v>
      </c>
      <c r="L1837" s="6">
        <f>FLOOR(VLOOKUP($D1837,Sheet1!$D$5:$F$192,3,TRUE),1)</f>
        <v>27</v>
      </c>
      <c r="M1837" s="42" t="str">
        <f>VLOOKUP($D1837,Sheet1!$D$5:$F$192,2,TRUE)</f>
        <v>(|\</v>
      </c>
      <c r="N1837" s="23">
        <f>FLOOR(VLOOKUP($D1837,Sheet1!$G$5:$I$192,3,TRUE),1)</f>
        <v>33</v>
      </c>
      <c r="O1837" s="42" t="str">
        <f>VLOOKUP($D1837,Sheet1!$G$5:$I$192,2,TRUE)</f>
        <v>(|\</v>
      </c>
      <c r="P1837" s="23">
        <v>1</v>
      </c>
      <c r="Q1837" s="43" t="str">
        <f>VLOOKUP($D1837,Sheet1!$J$5:$L$192,2,TRUE)</f>
        <v>(|\</v>
      </c>
      <c r="R1837" s="23">
        <f>FLOOR(VLOOKUP($D1837,Sheet1!$M$5:$O$192,3,TRUE),1)</f>
        <v>133</v>
      </c>
      <c r="S1837" s="43" t="str">
        <f>VLOOKUP($D1837,Sheet1!$M$5:$O$192,2,TRUE)</f>
        <v>(|\</v>
      </c>
      <c r="T1837" s="117">
        <f>IF(ABS(D1837-VLOOKUP($D1837,Sheet1!$M$5:$T$192,8,TRUE))&lt;10^-10,"SoCA",D1837-VLOOKUP($D1837,Sheet1!$M$5:$T$192,8,TRUE))</f>
        <v>-0.24606864281123819</v>
      </c>
      <c r="U1837" s="117" t="str">
        <f>IF(VLOOKUP($D1837,Sheet1!$M$5:$U$192,9,TRUE)=0,"",IF(ABS(D1837-VLOOKUP($D1837,Sheet1!$M$5:$U$192,9,TRUE))&lt;10^-10,"Alt.",D1837-VLOOKUP($D1837,Sheet1!$M$5:$U$192,9,TRUE)))</f>
        <v/>
      </c>
      <c r="V1837" s="134">
        <f>$D1837-Sheet1!$M$3*$R1837</f>
        <v>-0.22460194618773244</v>
      </c>
    </row>
    <row r="1838" spans="1:22" ht="13.5">
      <c r="A1838" s="36" t="s">
        <v>250</v>
      </c>
      <c r="B1838" s="36">
        <f>2*13</f>
        <v>26</v>
      </c>
      <c r="C1838" s="36">
        <f>3^3</f>
        <v>27</v>
      </c>
      <c r="D1838" s="51">
        <f t="shared" si="39"/>
        <v>65.337340826851815</v>
      </c>
      <c r="E1838" s="61">
        <v>13</v>
      </c>
      <c r="F1838" s="65">
        <v>15.675041047525612</v>
      </c>
      <c r="G1838" s="6">
        <v>13</v>
      </c>
      <c r="H1838" s="6">
        <v>13</v>
      </c>
      <c r="I1838" s="65">
        <v>-1.0230581116016682</v>
      </c>
      <c r="J1838" s="6">
        <f>VLOOKUP($D1838,Sheet1!$A$5:$C$192,3,TRUE)</f>
        <v>12</v>
      </c>
      <c r="K1838" s="42" t="str">
        <f>VLOOKUP($D1838,Sheet1!$A$5:$C$192,2,TRUE)</f>
        <v>(|\</v>
      </c>
      <c r="L1838" s="6">
        <f>FLOOR(VLOOKUP($D1838,Sheet1!$D$5:$F$192,3,TRUE),1)</f>
        <v>27</v>
      </c>
      <c r="M1838" s="42" t="str">
        <f>VLOOKUP($D1838,Sheet1!$D$5:$F$192,2,TRUE)</f>
        <v>(|\</v>
      </c>
      <c r="N1838" s="23">
        <f>FLOOR(VLOOKUP($D1838,Sheet1!$G$5:$I$192,3,TRUE),1)</f>
        <v>33</v>
      </c>
      <c r="O1838" s="42" t="str">
        <f>VLOOKUP($D1838,Sheet1!$G$5:$I$192,2,TRUE)</f>
        <v>(|\</v>
      </c>
      <c r="P1838" s="23">
        <v>1</v>
      </c>
      <c r="Q1838" s="45" t="str">
        <f>VLOOKUP($D1838,Sheet1!$J$5:$L$192,2,TRUE)</f>
        <v>(|\'</v>
      </c>
      <c r="R1838" s="38">
        <f>FLOOR(VLOOKUP($D1838,Sheet1!$M$5:$O$192,3,TRUE),1)</f>
        <v>134</v>
      </c>
      <c r="S1838" s="45" t="str">
        <f>VLOOKUP($D1838,Sheet1!$M$5:$O$192,2,TRUE)</f>
        <v>(|\'</v>
      </c>
      <c r="T1838" s="112" t="str">
        <f>IF(ABS(D1838-VLOOKUP($D1838,Sheet1!$M$5:$T$192,8,TRUE))&lt;10^-10,"SoCA",D1838-VLOOKUP($D1838,Sheet1!$M$5:$T$192,8,TRUE))</f>
        <v>SoCA</v>
      </c>
      <c r="U1838" s="108">
        <f>IF(VLOOKUP($D1838,Sheet1!$M$5:$U$192,9,TRUE)=0,"",IF(ABS(D1838-VLOOKUP($D1838,Sheet1!$M$5:$U$192,9,TRUE))&lt;10^-10,"Alt.",D1838-VLOOKUP($D1838,Sheet1!$M$5:$U$192,9,TRUE)))</f>
        <v>2.6960295202584916E-2</v>
      </c>
      <c r="V1838" s="133">
        <f>$D1838-Sheet1!$M$3*$R1838</f>
        <v>-4.3735618355896122E-2</v>
      </c>
    </row>
    <row r="1839" spans="1:22" ht="13.5">
      <c r="A1839" s="23" t="s">
        <v>2031</v>
      </c>
      <c r="B1839" s="23">
        <f>3^4*5*7</f>
        <v>2835</v>
      </c>
      <c r="C1839" s="23">
        <f>2^7*23</f>
        <v>2944</v>
      </c>
      <c r="D1839" s="13">
        <f t="shared" si="39"/>
        <v>65.31472347290601</v>
      </c>
      <c r="E1839" s="22">
        <v>23</v>
      </c>
      <c r="F1839" s="65">
        <v>44.751519342646276</v>
      </c>
      <c r="G1839" s="6">
        <v>436.1</v>
      </c>
      <c r="H1839" s="6">
        <v>507.1</v>
      </c>
      <c r="I1839" s="92">
        <v>2.5919378087501075</v>
      </c>
      <c r="J1839" s="6">
        <f>VLOOKUP($D1839,Sheet1!$A$5:$C$192,3,TRUE)</f>
        <v>12</v>
      </c>
      <c r="K1839" s="42" t="str">
        <f>VLOOKUP($D1839,Sheet1!$A$5:$C$192,2,TRUE)</f>
        <v>(|\</v>
      </c>
      <c r="L1839" s="6">
        <f>FLOOR(VLOOKUP($D1839,Sheet1!$D$5:$F$192,3,TRUE),1)</f>
        <v>27</v>
      </c>
      <c r="M1839" s="42" t="str">
        <f>VLOOKUP($D1839,Sheet1!$D$5:$F$192,2,TRUE)</f>
        <v>(|\</v>
      </c>
      <c r="N1839" s="23">
        <f>FLOOR(VLOOKUP($D1839,Sheet1!$G$5:$I$192,3,TRUE),1)</f>
        <v>33</v>
      </c>
      <c r="O1839" s="42" t="str">
        <f>VLOOKUP($D1839,Sheet1!$G$5:$I$192,2,TRUE)</f>
        <v>(|\</v>
      </c>
      <c r="P1839" s="23">
        <v>1</v>
      </c>
      <c r="Q1839" s="43" t="str">
        <f>VLOOKUP($D1839,Sheet1!$J$5:$L$192,2,TRUE)</f>
        <v>(|\'</v>
      </c>
      <c r="R1839" s="23">
        <f>FLOOR(VLOOKUP($D1839,Sheet1!$M$5:$O$192,3,TRUE),1)</f>
        <v>134</v>
      </c>
      <c r="S1839" s="43" t="str">
        <f>VLOOKUP($D1839,Sheet1!$M$5:$O$192,2,TRUE)</f>
        <v>(|\'</v>
      </c>
      <c r="T1839" s="117">
        <f>IF(ABS(D1839-VLOOKUP($D1839,Sheet1!$M$5:$T$192,8,TRUE))&lt;10^-10,"SoCA",D1839-VLOOKUP($D1839,Sheet1!$M$5:$T$192,8,TRUE))</f>
        <v>-2.2617353945648233E-2</v>
      </c>
      <c r="U1839" s="117">
        <f>IF(VLOOKUP($D1839,Sheet1!$M$5:$U$192,9,TRUE)=0,"",IF(ABS(D1839-VLOOKUP($D1839,Sheet1!$M$5:$U$192,9,TRUE))&lt;10^-10,"Alt.",D1839-VLOOKUP($D1839,Sheet1!$M$5:$U$192,9,TRUE)))</f>
        <v>4.3429412567803638E-3</v>
      </c>
      <c r="V1839" s="132">
        <f>$D1839-Sheet1!$M$3*$R1839</f>
        <v>-6.6352972301700675E-2</v>
      </c>
    </row>
    <row r="1840" spans="1:22" ht="13.5">
      <c r="A1840" s="6" t="s">
        <v>2030</v>
      </c>
      <c r="B1840" s="6">
        <f>2^4*11^3</f>
        <v>21296</v>
      </c>
      <c r="C1840" s="6">
        <f>3^5*7*13</f>
        <v>22113</v>
      </c>
      <c r="D1840" s="13">
        <f t="shared" si="39"/>
        <v>65.174745471102625</v>
      </c>
      <c r="E1840" s="22">
        <v>13</v>
      </c>
      <c r="F1840" s="65">
        <v>63.976139864756767</v>
      </c>
      <c r="G1840" s="6">
        <v>751.1</v>
      </c>
      <c r="H1840" s="6">
        <v>668.1</v>
      </c>
      <c r="I1840" s="92">
        <v>2.1938306037799393E-2</v>
      </c>
      <c r="J1840" s="6">
        <f>VLOOKUP($D1840,Sheet1!$A$5:$C$192,3,TRUE)</f>
        <v>12</v>
      </c>
      <c r="K1840" s="42" t="str">
        <f>VLOOKUP($D1840,Sheet1!$A$5:$C$192,2,TRUE)</f>
        <v>(|\</v>
      </c>
      <c r="L1840" s="6">
        <f>FLOOR(VLOOKUP($D1840,Sheet1!$D$5:$F$192,3,TRUE),1)</f>
        <v>27</v>
      </c>
      <c r="M1840" s="42" t="str">
        <f>VLOOKUP($D1840,Sheet1!$D$5:$F$192,2,TRUE)</f>
        <v>(|\</v>
      </c>
      <c r="N1840" s="23">
        <f>FLOOR(VLOOKUP($D1840,Sheet1!$G$5:$I$192,3,TRUE),1)</f>
        <v>33</v>
      </c>
      <c r="O1840" s="42" t="str">
        <f>VLOOKUP($D1840,Sheet1!$G$5:$I$192,2,TRUE)</f>
        <v>(|\</v>
      </c>
      <c r="P1840" s="23">
        <v>1</v>
      </c>
      <c r="Q1840" s="43" t="str">
        <f>VLOOKUP($D1840,Sheet1!$J$5:$L$192,2,TRUE)</f>
        <v>(|\'</v>
      </c>
      <c r="R1840" s="23">
        <f>FLOOR(VLOOKUP($D1840,Sheet1!$M$5:$O$192,3,TRUE),1)</f>
        <v>134</v>
      </c>
      <c r="S1840" s="42" t="str">
        <f>VLOOKUP($D1840,Sheet1!$M$5:$O$192,2,TRUE)</f>
        <v>(|\'</v>
      </c>
      <c r="T1840" s="117">
        <f>IF(ABS(D1840-VLOOKUP($D1840,Sheet1!$M$5:$T$192,8,TRUE))&lt;10^-10,"SoCA",D1840-VLOOKUP($D1840,Sheet1!$M$5:$T$192,8,TRUE))</f>
        <v>-0.16259535574903339</v>
      </c>
      <c r="U1840" s="109">
        <f>IF(VLOOKUP($D1840,Sheet1!$M$5:$U$192,9,TRUE)=0,"",IF(ABS(D1840-VLOOKUP($D1840,Sheet1!$M$5:$U$192,9,TRUE))&lt;10^-10,"Alt.",D1840-VLOOKUP($D1840,Sheet1!$M$5:$U$192,9,TRUE)))</f>
        <v>-0.13563506054660479</v>
      </c>
      <c r="V1840" s="132">
        <f>$D1840-Sheet1!$M$3*$R1840</f>
        <v>-0.20633097410508583</v>
      </c>
    </row>
    <row r="1841" spans="1:22" ht="13.5">
      <c r="A1841" s="23" t="s">
        <v>2029</v>
      </c>
      <c r="B1841" s="18">
        <f>2^18*41</f>
        <v>10747904</v>
      </c>
      <c r="C1841" s="18">
        <f>3^13*7</f>
        <v>11160261</v>
      </c>
      <c r="D1841" s="13">
        <f t="shared" si="39"/>
        <v>65.17851217746086</v>
      </c>
      <c r="E1841" s="22">
        <v>41</v>
      </c>
      <c r="F1841" s="65">
        <v>142.00072534434486</v>
      </c>
      <c r="G1841" s="6">
        <v>407.1</v>
      </c>
      <c r="H1841" s="6">
        <v>528.1</v>
      </c>
      <c r="I1841" s="92">
        <v>5.4817494948722176</v>
      </c>
      <c r="J1841" s="6">
        <f>VLOOKUP($D1841,Sheet1!$A$5:$C$192,3,TRUE)</f>
        <v>12</v>
      </c>
      <c r="K1841" s="42" t="str">
        <f>VLOOKUP($D1841,Sheet1!$A$5:$C$192,2,TRUE)</f>
        <v>(|\</v>
      </c>
      <c r="L1841" s="6">
        <f>FLOOR(VLOOKUP($D1841,Sheet1!$D$5:$F$192,3,TRUE),1)</f>
        <v>27</v>
      </c>
      <c r="M1841" s="42" t="str">
        <f>VLOOKUP($D1841,Sheet1!$D$5:$F$192,2,TRUE)</f>
        <v>(|\</v>
      </c>
      <c r="N1841" s="23">
        <f>FLOOR(VLOOKUP($D1841,Sheet1!$G$5:$I$192,3,TRUE),1)</f>
        <v>33</v>
      </c>
      <c r="O1841" s="42" t="str">
        <f>VLOOKUP($D1841,Sheet1!$G$5:$I$192,2,TRUE)</f>
        <v>(|\</v>
      </c>
      <c r="P1841" s="23">
        <v>1</v>
      </c>
      <c r="Q1841" s="43" t="str">
        <f>VLOOKUP($D1841,Sheet1!$J$5:$L$192,2,TRUE)</f>
        <v>(|\'</v>
      </c>
      <c r="R1841" s="23">
        <f>FLOOR(VLOOKUP($D1841,Sheet1!$M$5:$O$192,3,TRUE),1)</f>
        <v>134</v>
      </c>
      <c r="S1841" s="42" t="str">
        <f>VLOOKUP($D1841,Sheet1!$M$5:$O$192,2,TRUE)</f>
        <v>(|\'</v>
      </c>
      <c r="T1841" s="117">
        <f>IF(ABS(D1841-VLOOKUP($D1841,Sheet1!$M$5:$T$192,8,TRUE))&lt;10^-10,"SoCA",D1841-VLOOKUP($D1841,Sheet1!$M$5:$T$192,8,TRUE))</f>
        <v>-0.15882864939079866</v>
      </c>
      <c r="U1841" s="109">
        <f>IF(VLOOKUP($D1841,Sheet1!$M$5:$U$192,9,TRUE)=0,"",IF(ABS(D1841-VLOOKUP($D1841,Sheet1!$M$5:$U$192,9,TRUE))&lt;10^-10,"Alt.",D1841-VLOOKUP($D1841,Sheet1!$M$5:$U$192,9,TRUE)))</f>
        <v>-0.13186835418837006</v>
      </c>
      <c r="V1841" s="132">
        <f>$D1841-Sheet1!$M$3*$R1841</f>
        <v>-0.2025642677468511</v>
      </c>
    </row>
    <row r="1842" spans="1:22" ht="13.5">
      <c r="A1842" s="6" t="s">
        <v>2028</v>
      </c>
      <c r="B1842" s="18">
        <f>2^25*7</f>
        <v>234881024</v>
      </c>
      <c r="C1842" s="18">
        <f>3^15*17</f>
        <v>243931419</v>
      </c>
      <c r="D1842" s="13">
        <f t="shared" si="39"/>
        <v>65.454516012093791</v>
      </c>
      <c r="E1842" s="22">
        <v>17</v>
      </c>
      <c r="F1842" s="65">
        <v>336.937101703856</v>
      </c>
      <c r="G1842" s="59">
        <v>291.10000000000002</v>
      </c>
      <c r="H1842" s="63">
        <v>1000007</v>
      </c>
      <c r="I1842" s="92">
        <v>18.047865762044353</v>
      </c>
      <c r="J1842" s="6">
        <f>VLOOKUP($D1842,Sheet1!$A$5:$C$192,3,TRUE)</f>
        <v>12</v>
      </c>
      <c r="K1842" s="42" t="str">
        <f>VLOOKUP($D1842,Sheet1!$A$5:$C$192,2,TRUE)</f>
        <v>(|\</v>
      </c>
      <c r="L1842" s="6">
        <f>FLOOR(VLOOKUP($D1842,Sheet1!$D$5:$F$192,3,TRUE),1)</f>
        <v>27</v>
      </c>
      <c r="M1842" s="42" t="str">
        <f>VLOOKUP($D1842,Sheet1!$D$5:$F$192,2,TRUE)</f>
        <v>(|\</v>
      </c>
      <c r="N1842" s="23">
        <f>FLOOR(VLOOKUP($D1842,Sheet1!$G$5:$I$192,3,TRUE),1)</f>
        <v>33</v>
      </c>
      <c r="O1842" s="42" t="str">
        <f>VLOOKUP($D1842,Sheet1!$G$5:$I$192,2,TRUE)</f>
        <v>(|\</v>
      </c>
      <c r="P1842" s="23">
        <v>1</v>
      </c>
      <c r="Q1842" s="43" t="str">
        <f>VLOOKUP($D1842,Sheet1!$J$5:$L$192,2,TRUE)</f>
        <v>(|\'</v>
      </c>
      <c r="R1842" s="23">
        <f>FLOOR(VLOOKUP($D1842,Sheet1!$M$5:$O$192,3,TRUE),1)</f>
        <v>134</v>
      </c>
      <c r="S1842" s="42" t="str">
        <f>VLOOKUP($D1842,Sheet1!$M$5:$O$192,2,TRUE)</f>
        <v>(|\'</v>
      </c>
      <c r="T1842" s="117">
        <f>IF(ABS(D1842-VLOOKUP($D1842,Sheet1!$M$5:$T$192,8,TRUE))&lt;10^-10,"SoCA",D1842-VLOOKUP($D1842,Sheet1!$M$5:$T$192,8,TRUE))</f>
        <v>0.11717518524213233</v>
      </c>
      <c r="U1842" s="109">
        <f>IF(VLOOKUP($D1842,Sheet1!$M$5:$U$192,9,TRUE)=0,"",IF(ABS(D1842-VLOOKUP($D1842,Sheet1!$M$5:$U$192,9,TRUE))&lt;10^-10,"Alt.",D1842-VLOOKUP($D1842,Sheet1!$M$5:$U$192,9,TRUE)))</f>
        <v>0.14413548044456093</v>
      </c>
      <c r="V1842" s="132">
        <f>$D1842-Sheet1!$M$3*$R1842</f>
        <v>7.3439566886079888E-2</v>
      </c>
    </row>
    <row r="1843" spans="1:22" ht="13.5">
      <c r="A1843" s="23" t="s">
        <v>1918</v>
      </c>
      <c r="B1843" s="23">
        <f>2^2*3^2*5</f>
        <v>180</v>
      </c>
      <c r="C1843" s="23">
        <f>11*17</f>
        <v>187</v>
      </c>
      <c r="D1843" s="13">
        <f t="shared" si="39"/>
        <v>66.049636269554483</v>
      </c>
      <c r="E1843" s="61">
        <v>17</v>
      </c>
      <c r="F1843" s="65">
        <v>40.297622685556966</v>
      </c>
      <c r="G1843" s="6">
        <v>438</v>
      </c>
      <c r="H1843" s="6">
        <v>451</v>
      </c>
      <c r="I1843" s="65">
        <v>-6.0669167370424537</v>
      </c>
      <c r="J1843" s="6">
        <f>VLOOKUP($D1843,Sheet1!$A$5:$C$192,3,TRUE)</f>
        <v>12</v>
      </c>
      <c r="K1843" s="42" t="str">
        <f>VLOOKUP($D1843,Sheet1!$A$5:$C$192,2,TRUE)</f>
        <v>(|\</v>
      </c>
      <c r="L1843" s="6">
        <f>FLOOR(VLOOKUP($D1843,Sheet1!$D$5:$F$192,3,TRUE),1)</f>
        <v>27</v>
      </c>
      <c r="M1843" s="42" t="str">
        <f>VLOOKUP($D1843,Sheet1!$D$5:$F$192,2,TRUE)</f>
        <v>(|\</v>
      </c>
      <c r="N1843" s="23">
        <f>FLOOR(VLOOKUP($D1843,Sheet1!$G$5:$I$192,3,TRUE),1)</f>
        <v>33</v>
      </c>
      <c r="O1843" s="42" t="str">
        <f>VLOOKUP($D1843,Sheet1!$G$5:$I$192,2,TRUE)</f>
        <v>(|\</v>
      </c>
      <c r="P1843" s="23">
        <v>1</v>
      </c>
      <c r="Q1843" s="43" t="str">
        <f>VLOOKUP($D1843,Sheet1!$J$5:$L$192,2,TRUE)</f>
        <v>(|\''</v>
      </c>
      <c r="R1843" s="23">
        <f>FLOOR(VLOOKUP($D1843,Sheet1!$M$5:$O$192,3,TRUE),1)</f>
        <v>135</v>
      </c>
      <c r="S1843" s="43" t="str">
        <f>VLOOKUP($D1843,Sheet1!$M$5:$O$192,2,TRUE)</f>
        <v>(|\''</v>
      </c>
      <c r="T1843" s="117">
        <f>IF(ABS(D1843-VLOOKUP($D1843,Sheet1!$M$5:$T$192,8,TRUE))&lt;10^-10,"SoCA",D1843-VLOOKUP($D1843,Sheet1!$M$5:$T$192,8,TRUE))</f>
        <v>0.30248740455604661</v>
      </c>
      <c r="U1843" s="117">
        <f>IF(VLOOKUP($D1843,Sheet1!$M$5:$U$192,9,TRUE)=0,"",IF(ABS(D1843-VLOOKUP($D1843,Sheet1!$M$5:$U$192,9,TRUE))&lt;10^-10,"Alt.",D1843-VLOOKUP($D1843,Sheet1!$M$5:$U$192,9,TRUE)))</f>
        <v>0.31653957195049998</v>
      </c>
      <c r="V1843" s="132">
        <f>$D1843-Sheet1!$M$3*$R1843</f>
        <v>0.18064134341237548</v>
      </c>
    </row>
    <row r="1844" spans="1:22" ht="13.5">
      <c r="A1844" s="6" t="s">
        <v>2032</v>
      </c>
      <c r="B1844" s="18">
        <f>2^15*5*17</f>
        <v>2785280</v>
      </c>
      <c r="C1844" s="18">
        <f>3^10*7^2</f>
        <v>2893401</v>
      </c>
      <c r="D1844" s="13">
        <f t="shared" si="39"/>
        <v>65.932698226881797</v>
      </c>
      <c r="E1844" s="22">
        <v>17</v>
      </c>
      <c r="F1844" s="65">
        <v>46.905614257512539</v>
      </c>
      <c r="G1844" s="6">
        <v>650.1</v>
      </c>
      <c r="H1844" s="6">
        <v>701.1</v>
      </c>
      <c r="I1844" s="92">
        <v>0.61696689474110322</v>
      </c>
      <c r="J1844" s="6">
        <f>VLOOKUP($D1844,Sheet1!$A$5:$C$192,3,TRUE)</f>
        <v>12</v>
      </c>
      <c r="K1844" s="42" t="str">
        <f>VLOOKUP($D1844,Sheet1!$A$5:$C$192,2,TRUE)</f>
        <v>(|\</v>
      </c>
      <c r="L1844" s="6">
        <f>FLOOR(VLOOKUP($D1844,Sheet1!$D$5:$F$192,3,TRUE),1)</f>
        <v>27</v>
      </c>
      <c r="M1844" s="42" t="str">
        <f>VLOOKUP($D1844,Sheet1!$D$5:$F$192,2,TRUE)</f>
        <v>(|\</v>
      </c>
      <c r="N1844" s="23">
        <f>FLOOR(VLOOKUP($D1844,Sheet1!$G$5:$I$192,3,TRUE),1)</f>
        <v>33</v>
      </c>
      <c r="O1844" s="42" t="str">
        <f>VLOOKUP($D1844,Sheet1!$G$5:$I$192,2,TRUE)</f>
        <v>(|\</v>
      </c>
      <c r="P1844" s="23">
        <v>1</v>
      </c>
      <c r="Q1844" s="43" t="str">
        <f>VLOOKUP($D1844,Sheet1!$J$5:$L$192,2,TRUE)</f>
        <v>(|\''</v>
      </c>
      <c r="R1844" s="23">
        <f>FLOOR(VLOOKUP($D1844,Sheet1!$M$5:$O$192,3,TRUE),1)</f>
        <v>135</v>
      </c>
      <c r="S1844" s="42" t="str">
        <f>VLOOKUP($D1844,Sheet1!$M$5:$O$192,2,TRUE)</f>
        <v>(|\''</v>
      </c>
      <c r="T1844" s="117">
        <f>IF(ABS(D1844-VLOOKUP($D1844,Sheet1!$M$5:$T$192,8,TRUE))&lt;10^-10,"SoCA",D1844-VLOOKUP($D1844,Sheet1!$M$5:$T$192,8,TRUE))</f>
        <v>0.18554936188336058</v>
      </c>
      <c r="U1844" s="109">
        <f>IF(VLOOKUP($D1844,Sheet1!$M$5:$U$192,9,TRUE)=0,"",IF(ABS(D1844-VLOOKUP($D1844,Sheet1!$M$5:$U$192,9,TRUE))&lt;10^-10,"Alt.",D1844-VLOOKUP($D1844,Sheet1!$M$5:$U$192,9,TRUE)))</f>
        <v>0.19960152927781394</v>
      </c>
      <c r="V1844" s="132">
        <f>$D1844-Sheet1!$M$3*$R1844</f>
        <v>6.3703300739689439E-2</v>
      </c>
    </row>
    <row r="1845" spans="1:22" ht="13.5">
      <c r="A1845" s="38" t="s">
        <v>2033</v>
      </c>
      <c r="B1845" s="106">
        <f>2^8*11</f>
        <v>2816</v>
      </c>
      <c r="C1845" s="38">
        <f>3^2*5^2*13</f>
        <v>2925</v>
      </c>
      <c r="D1845" s="13">
        <f t="shared" si="39"/>
        <v>65.747148864998536</v>
      </c>
      <c r="E1845" s="22">
        <v>13</v>
      </c>
      <c r="F1845" s="65">
        <v>47.680533049288236</v>
      </c>
      <c r="G1845" s="18">
        <v>2000000</v>
      </c>
      <c r="H1845" s="18">
        <v>2000000</v>
      </c>
      <c r="I1845" s="92">
        <v>4.0940384571156167E-2</v>
      </c>
      <c r="J1845" s="6">
        <f>VLOOKUP($D1845,Sheet1!$A$5:$C$192,3,TRUE)</f>
        <v>12</v>
      </c>
      <c r="K1845" s="42" t="str">
        <f>VLOOKUP($D1845,Sheet1!$A$5:$C$192,2,TRUE)</f>
        <v>(|\</v>
      </c>
      <c r="L1845" s="6">
        <f>FLOOR(VLOOKUP($D1845,Sheet1!$D$5:$F$192,3,TRUE),1)</f>
        <v>27</v>
      </c>
      <c r="M1845" s="42" t="str">
        <f>VLOOKUP($D1845,Sheet1!$D$5:$F$192,2,TRUE)</f>
        <v>(|\</v>
      </c>
      <c r="N1845" s="23">
        <f>FLOOR(VLOOKUP($D1845,Sheet1!$G$5:$I$192,3,TRUE),1)</f>
        <v>33</v>
      </c>
      <c r="O1845" s="42" t="str">
        <f>VLOOKUP($D1845,Sheet1!$G$5:$I$192,2,TRUE)</f>
        <v>(|\</v>
      </c>
      <c r="P1845" s="23">
        <v>1</v>
      </c>
      <c r="Q1845" s="45" t="str">
        <f>VLOOKUP($D1845,Sheet1!$J$5:$L$192,2,TRUE)</f>
        <v>(|\''</v>
      </c>
      <c r="R1845" s="38">
        <f>FLOOR(VLOOKUP($D1845,Sheet1!$M$5:$O$192,3,TRUE),1)</f>
        <v>135</v>
      </c>
      <c r="S1845" s="45" t="str">
        <f>VLOOKUP($D1845,Sheet1!$M$5:$O$192,2,TRUE)</f>
        <v>(|\''</v>
      </c>
      <c r="T1845" s="112" t="str">
        <f>IF(ABS(D1845-VLOOKUP($D1845,Sheet1!$M$5:$T$192,8,TRUE))&lt;10^-10,"SoCA",D1845-VLOOKUP($D1845,Sheet1!$M$5:$T$192,8,TRUE))</f>
        <v>SoCA</v>
      </c>
      <c r="U1845" s="108">
        <f>IF(VLOOKUP($D1845,Sheet1!$M$5:$U$192,9,TRUE)=0,"",IF(ABS(D1845-VLOOKUP($D1845,Sheet1!$M$5:$U$192,9,TRUE))&lt;10^-10,"Alt.",D1845-VLOOKUP($D1845,Sheet1!$M$5:$U$192,9,TRUE)))</f>
        <v>1.4052167394552839E-2</v>
      </c>
      <c r="V1845" s="133">
        <f>$D1845-Sheet1!$M$3*$R1845</f>
        <v>-0.12184606114357166</v>
      </c>
    </row>
    <row r="1846" spans="1:22" ht="13.5">
      <c r="A1846" s="144" t="s">
        <v>251</v>
      </c>
      <c r="B1846" s="148">
        <f>7*11</f>
        <v>77</v>
      </c>
      <c r="C1846" s="144">
        <f>2^4*5</f>
        <v>80</v>
      </c>
      <c r="D1846" s="13">
        <f t="shared" si="39"/>
        <v>66.169865030953034</v>
      </c>
      <c r="E1846" s="61">
        <v>11</v>
      </c>
      <c r="F1846" s="65">
        <v>27.758666786701323</v>
      </c>
      <c r="G1846" s="6">
        <v>67</v>
      </c>
      <c r="H1846" s="6">
        <v>63</v>
      </c>
      <c r="I1846" s="65">
        <v>-4.0743196598989879</v>
      </c>
      <c r="J1846" s="6">
        <f>VLOOKUP($D1846,Sheet1!$A$5:$C$192,3,TRUE)</f>
        <v>12</v>
      </c>
      <c r="K1846" s="42" t="str">
        <f>VLOOKUP($D1846,Sheet1!$A$5:$C$192,2,TRUE)</f>
        <v>(|\</v>
      </c>
      <c r="L1846" s="6">
        <f>FLOOR(VLOOKUP($D1846,Sheet1!$D$5:$F$192,3,TRUE),1)</f>
        <v>28</v>
      </c>
      <c r="M1846" s="42" t="str">
        <f>VLOOKUP($D1846,Sheet1!$D$5:$F$192,2,TRUE)</f>
        <v>)|\\</v>
      </c>
      <c r="N1846" s="23">
        <f>FLOOR(VLOOKUP($D1846,Sheet1!$G$5:$I$192,3,TRUE),1)</f>
        <v>34</v>
      </c>
      <c r="O1846" s="42" t="str">
        <f>VLOOKUP($D1846,Sheet1!$G$5:$I$192,2,TRUE)</f>
        <v>)|\\</v>
      </c>
      <c r="P1846" s="23">
        <v>1</v>
      </c>
      <c r="Q1846" s="145" t="str">
        <f>VLOOKUP($D1846,Sheet1!$J$5:$L$192,2,TRUE)</f>
        <v>)|\\..</v>
      </c>
      <c r="R1846" s="146">
        <f>FLOOR(VLOOKUP($D1846,Sheet1!$M$5:$O$192,3,TRUE),1)</f>
        <v>136</v>
      </c>
      <c r="S1846" s="145" t="str">
        <f>VLOOKUP($D1846,Sheet1!$M$5:$O$192,2,TRUE)</f>
        <v>)|\\..</v>
      </c>
      <c r="T1846" s="147">
        <f>IF(ABS(D1846-VLOOKUP($D1846,Sheet1!$M$5:$T$192,8,TRUE))&lt;10^-10,"SoCA",D1846-VLOOKUP($D1846,Sheet1!$M$5:$T$192,8,TRUE))</f>
        <v>-0.28867237973101112</v>
      </c>
      <c r="U1846" s="147">
        <f>IF(VLOOKUP($D1846,Sheet1!$M$5:$U$192,9,TRUE)=0,"",IF(ABS(D1846-VLOOKUP($D1846,Sheet1!$M$5:$U$192,9,TRUE))&lt;10^-10,"Alt.",D1846-VLOOKUP($D1846,Sheet1!$M$5:$U$192,9,TRUE)))</f>
        <v>-0.30272454712546448</v>
      </c>
      <c r="V1846" s="132">
        <f>$D1846-Sheet1!$M$3*$R1846</f>
        <v>-0.18704837612345671</v>
      </c>
    </row>
    <row r="1847" spans="1:22" ht="13.5">
      <c r="A1847" s="23" t="s">
        <v>2034</v>
      </c>
      <c r="B1847" s="23">
        <f>2^7</f>
        <v>128</v>
      </c>
      <c r="C1847" s="23">
        <f>7*19</f>
        <v>133</v>
      </c>
      <c r="D1847" s="13">
        <f t="shared" si="39"/>
        <v>66.338922601427527</v>
      </c>
      <c r="E1847" s="22">
        <v>19</v>
      </c>
      <c r="F1847" s="65">
        <v>36.565375825771604</v>
      </c>
      <c r="G1847" s="6">
        <v>588</v>
      </c>
      <c r="H1847" s="6">
        <v>547</v>
      </c>
      <c r="I1847" s="92">
        <v>0.15617182418783646</v>
      </c>
      <c r="J1847" s="6">
        <f>VLOOKUP($D1847,Sheet1!$A$5:$C$192,3,TRUE)</f>
        <v>12</v>
      </c>
      <c r="K1847" s="42" t="str">
        <f>VLOOKUP($D1847,Sheet1!$A$5:$C$192,2,TRUE)</f>
        <v>(|\</v>
      </c>
      <c r="L1847" s="6">
        <f>FLOOR(VLOOKUP($D1847,Sheet1!$D$5:$F$192,3,TRUE),1)</f>
        <v>28</v>
      </c>
      <c r="M1847" s="42" t="str">
        <f>VLOOKUP($D1847,Sheet1!$D$5:$F$192,2,TRUE)</f>
        <v>)|\\</v>
      </c>
      <c r="N1847" s="23">
        <f>FLOOR(VLOOKUP($D1847,Sheet1!$G$5:$I$192,3,TRUE),1)</f>
        <v>34</v>
      </c>
      <c r="O1847" s="42" t="str">
        <f>VLOOKUP($D1847,Sheet1!$G$5:$I$192,2,TRUE)</f>
        <v>)|\\</v>
      </c>
      <c r="P1847" s="23">
        <v>1</v>
      </c>
      <c r="Q1847" s="43" t="str">
        <f>VLOOKUP($D1847,Sheet1!$J$5:$L$192,2,TRUE)</f>
        <v>)|\\..</v>
      </c>
      <c r="R1847" s="23">
        <f>FLOOR(VLOOKUP($D1847,Sheet1!$M$5:$O$192,3,TRUE),1)</f>
        <v>136</v>
      </c>
      <c r="S1847" s="43" t="str">
        <f>VLOOKUP($D1847,Sheet1!$M$5:$O$192,2,TRUE)</f>
        <v>)|\\..</v>
      </c>
      <c r="T1847" s="117">
        <f>IF(ABS(D1847-VLOOKUP($D1847,Sheet1!$M$5:$T$192,8,TRUE))&lt;10^-10,"SoCA",D1847-VLOOKUP($D1847,Sheet1!$M$5:$T$192,8,TRUE))</f>
        <v>-0.11961480925651813</v>
      </c>
      <c r="U1847" s="117">
        <f>IF(VLOOKUP($D1847,Sheet1!$M$5:$U$192,9,TRUE)=0,"",IF(ABS(D1847-VLOOKUP($D1847,Sheet1!$M$5:$U$192,9,TRUE))&lt;10^-10,"Alt.",D1847-VLOOKUP($D1847,Sheet1!$M$5:$U$192,9,TRUE)))</f>
        <v>-0.13366697665097149</v>
      </c>
      <c r="V1847" s="132">
        <f>$D1847-Sheet1!$M$3*$R1847</f>
        <v>-1.7990805648963715E-2</v>
      </c>
    </row>
    <row r="1848" spans="1:22" ht="13.5">
      <c r="A1848" s="23" t="s">
        <v>2035</v>
      </c>
      <c r="B1848" s="23">
        <f>2^5*5*19</f>
        <v>3040</v>
      </c>
      <c r="C1848" s="23">
        <f>3^5*13</f>
        <v>3159</v>
      </c>
      <c r="D1848" s="13">
        <f t="shared" si="39"/>
        <v>66.475936099110129</v>
      </c>
      <c r="E1848" s="22">
        <v>19</v>
      </c>
      <c r="F1848" s="65">
        <v>44.742789024902073</v>
      </c>
      <c r="G1848" s="6">
        <v>748.1</v>
      </c>
      <c r="H1848" s="6">
        <v>662.1</v>
      </c>
      <c r="I1848" s="92">
        <v>1.897286449292165E-2</v>
      </c>
      <c r="J1848" s="6">
        <f>VLOOKUP($D1848,Sheet1!$A$5:$C$192,3,TRUE)</f>
        <v>12</v>
      </c>
      <c r="K1848" s="42" t="str">
        <f>VLOOKUP($D1848,Sheet1!$A$5:$C$192,2,TRUE)</f>
        <v>(|\</v>
      </c>
      <c r="L1848" s="6">
        <f>FLOOR(VLOOKUP($D1848,Sheet1!$D$5:$F$192,3,TRUE),1)</f>
        <v>28</v>
      </c>
      <c r="M1848" s="42" t="str">
        <f>VLOOKUP($D1848,Sheet1!$D$5:$F$192,2,TRUE)</f>
        <v>)|\\</v>
      </c>
      <c r="N1848" s="23">
        <f>FLOOR(VLOOKUP($D1848,Sheet1!$G$5:$I$192,3,TRUE),1)</f>
        <v>34</v>
      </c>
      <c r="O1848" s="42" t="str">
        <f>VLOOKUP($D1848,Sheet1!$G$5:$I$192,2,TRUE)</f>
        <v>)|\\</v>
      </c>
      <c r="P1848" s="23">
        <v>1</v>
      </c>
      <c r="Q1848" s="43" t="str">
        <f>VLOOKUP($D1848,Sheet1!$J$5:$L$192,2,TRUE)</f>
        <v>)|\\..</v>
      </c>
      <c r="R1848" s="23">
        <f>FLOOR(VLOOKUP($D1848,Sheet1!$M$5:$O$192,3,TRUE),1)</f>
        <v>136</v>
      </c>
      <c r="S1848" s="43" t="str">
        <f>VLOOKUP($D1848,Sheet1!$M$5:$O$192,2,TRUE)</f>
        <v>)|\\..</v>
      </c>
      <c r="T1848" s="117">
        <f>IF(ABS(D1848-VLOOKUP($D1848,Sheet1!$M$5:$T$192,8,TRUE))&lt;10^-10,"SoCA",D1848-VLOOKUP($D1848,Sheet1!$M$5:$T$192,8,TRUE))</f>
        <v>1.7398688426084163E-2</v>
      </c>
      <c r="U1848" s="117">
        <f>IF(VLOOKUP($D1848,Sheet1!$M$5:$U$192,9,TRUE)=0,"",IF(ABS(D1848-VLOOKUP($D1848,Sheet1!$M$5:$U$192,9,TRUE))&lt;10^-10,"Alt.",D1848-VLOOKUP($D1848,Sheet1!$M$5:$U$192,9,TRUE)))</f>
        <v>3.3465210316308003E-3</v>
      </c>
      <c r="V1848" s="132">
        <f>$D1848-Sheet1!$M$3*$R1848</f>
        <v>0.11902269203363858</v>
      </c>
    </row>
    <row r="1849" spans="1:22" ht="13.5">
      <c r="A1849" s="87" t="s">
        <v>1919</v>
      </c>
      <c r="B1849" s="87">
        <f>2^9*37</f>
        <v>18944</v>
      </c>
      <c r="C1849" s="87">
        <f>3^9</f>
        <v>19683</v>
      </c>
      <c r="D1849" s="13">
        <f t="shared" si="39"/>
        <v>66.250969033747197</v>
      </c>
      <c r="E1849" s="61">
        <v>37</v>
      </c>
      <c r="F1849" s="65">
        <v>49.887553124487305</v>
      </c>
      <c r="G1849" s="6">
        <v>82.1</v>
      </c>
      <c r="H1849" s="6">
        <v>80.099999999999994</v>
      </c>
      <c r="I1849" s="65">
        <v>4.9206864711710061</v>
      </c>
      <c r="J1849" s="6">
        <f>VLOOKUP($D1849,Sheet1!$A$5:$C$192,3,TRUE)</f>
        <v>12</v>
      </c>
      <c r="K1849" s="42" t="str">
        <f>VLOOKUP($D1849,Sheet1!$A$5:$C$192,2,TRUE)</f>
        <v>(|\</v>
      </c>
      <c r="L1849" s="6">
        <f>FLOOR(VLOOKUP($D1849,Sheet1!$D$5:$F$192,3,TRUE),1)</f>
        <v>28</v>
      </c>
      <c r="M1849" s="42" t="str">
        <f>VLOOKUP($D1849,Sheet1!$D$5:$F$192,2,TRUE)</f>
        <v>)|\\</v>
      </c>
      <c r="N1849" s="23">
        <f>FLOOR(VLOOKUP($D1849,Sheet1!$G$5:$I$192,3,TRUE),1)</f>
        <v>34</v>
      </c>
      <c r="O1849" s="42" t="str">
        <f>VLOOKUP($D1849,Sheet1!$G$5:$I$192,2,TRUE)</f>
        <v>)|\\</v>
      </c>
      <c r="P1849" s="23">
        <v>1</v>
      </c>
      <c r="Q1849" s="45" t="str">
        <f>VLOOKUP($D1849,Sheet1!$J$5:$L$192,2,TRUE)</f>
        <v>)|\\..</v>
      </c>
      <c r="R1849" s="38">
        <f>FLOOR(VLOOKUP($D1849,Sheet1!$M$5:$O$192,3,TRUE),1)</f>
        <v>136</v>
      </c>
      <c r="S1849" s="45" t="str">
        <f>VLOOKUP($D1849,Sheet1!$M$5:$O$192,2,TRUE)</f>
        <v>)|\\..</v>
      </c>
      <c r="T1849" s="108">
        <f>IF(ABS(D1849-VLOOKUP($D1849,Sheet1!$M$5:$T$192,8,TRUE))&lt;10^-10,"SoCA",D1849-VLOOKUP($D1849,Sheet1!$M$5:$T$192,8,TRUE))</f>
        <v>-0.20756837693684815</v>
      </c>
      <c r="U1849" s="108">
        <f>IF(VLOOKUP($D1849,Sheet1!$M$5:$U$192,9,TRUE)=0,"",IF(ABS(D1849-VLOOKUP($D1849,Sheet1!$M$5:$U$192,9,TRUE))&lt;10^-10,"Alt.",D1849-VLOOKUP($D1849,Sheet1!$M$5:$U$192,9,TRUE)))</f>
        <v>-0.22162054433130152</v>
      </c>
      <c r="V1849" s="133">
        <f>$D1849-Sheet1!$M$3*$R1849</f>
        <v>-0.10594437332929374</v>
      </c>
    </row>
    <row r="1850" spans="1:22" ht="13.5">
      <c r="A1850" s="6" t="s">
        <v>2036</v>
      </c>
      <c r="B1850" s="18">
        <f>2^23*7^3</f>
        <v>2877292544</v>
      </c>
      <c r="C1850" s="18">
        <f>3^14*5^4</f>
        <v>2989355625</v>
      </c>
      <c r="D1850" s="13">
        <f t="shared" si="39"/>
        <v>66.14714816738838</v>
      </c>
      <c r="E1850" s="22">
        <v>7</v>
      </c>
      <c r="F1850" s="65">
        <v>229.52641948429778</v>
      </c>
      <c r="G1850" s="6">
        <v>1243.0999999999999</v>
      </c>
      <c r="H1850" s="6">
        <v>1431.1</v>
      </c>
      <c r="I1850" s="92">
        <v>10.113932623078878</v>
      </c>
      <c r="J1850" s="6">
        <f>VLOOKUP($D1850,Sheet1!$A$5:$C$192,3,TRUE)</f>
        <v>12</v>
      </c>
      <c r="K1850" s="42" t="str">
        <f>VLOOKUP($D1850,Sheet1!$A$5:$C$192,2,TRUE)</f>
        <v>(|\</v>
      </c>
      <c r="L1850" s="6">
        <f>FLOOR(VLOOKUP($D1850,Sheet1!$D$5:$F$192,3,TRUE),1)</f>
        <v>28</v>
      </c>
      <c r="M1850" s="42" t="str">
        <f>VLOOKUP($D1850,Sheet1!$D$5:$F$192,2,TRUE)</f>
        <v>)|\\</v>
      </c>
      <c r="N1850" s="23">
        <f>FLOOR(VLOOKUP($D1850,Sheet1!$G$5:$I$192,3,TRUE),1)</f>
        <v>34</v>
      </c>
      <c r="O1850" s="42" t="str">
        <f>VLOOKUP($D1850,Sheet1!$G$5:$I$192,2,TRUE)</f>
        <v>)|\\</v>
      </c>
      <c r="P1850" s="23">
        <v>1</v>
      </c>
      <c r="Q1850" s="43" t="str">
        <f>VLOOKUP($D1850,Sheet1!$J$5:$L$192,2,TRUE)</f>
        <v>)|\\..</v>
      </c>
      <c r="R1850" s="23">
        <f>FLOOR(VLOOKUP($D1850,Sheet1!$M$5:$O$192,3,TRUE),1)</f>
        <v>136</v>
      </c>
      <c r="S1850" s="42" t="str">
        <f>VLOOKUP($D1850,Sheet1!$M$5:$O$192,2,TRUE)</f>
        <v>)|\\..</v>
      </c>
      <c r="T1850" s="117">
        <f>IF(ABS(D1850-VLOOKUP($D1850,Sheet1!$M$5:$T$192,8,TRUE))&lt;10^-10,"SoCA",D1850-VLOOKUP($D1850,Sheet1!$M$5:$T$192,8,TRUE))</f>
        <v>-0.31138924329566464</v>
      </c>
      <c r="U1850" s="109">
        <f>IF(VLOOKUP($D1850,Sheet1!$M$5:$U$192,9,TRUE)=0,"",IF(ABS(D1850-VLOOKUP($D1850,Sheet1!$M$5:$U$192,9,TRUE))&lt;10^-10,"Alt.",D1850-VLOOKUP($D1850,Sheet1!$M$5:$U$192,9,TRUE)))</f>
        <v>-0.325441410690118</v>
      </c>
      <c r="V1850" s="132">
        <f>$D1850-Sheet1!$M$3*$R1850</f>
        <v>-0.20976523968811023</v>
      </c>
    </row>
    <row r="1851" spans="1:22" ht="13.5">
      <c r="A1851" s="23" t="s">
        <v>252</v>
      </c>
      <c r="B1851" s="23">
        <f>2^4*5^3</f>
        <v>2000</v>
      </c>
      <c r="C1851" s="23">
        <f>3^3*7*11</f>
        <v>2079</v>
      </c>
      <c r="D1851" s="13">
        <f t="shared" si="39"/>
        <v>67.067709835539588</v>
      </c>
      <c r="E1851" s="61">
        <v>19</v>
      </c>
      <c r="F1851" s="65">
        <v>39.852170367302698</v>
      </c>
      <c r="G1851" s="6">
        <v>169</v>
      </c>
      <c r="H1851" s="6">
        <v>149</v>
      </c>
      <c r="I1851" s="65">
        <v>-4.5654958411568014</v>
      </c>
      <c r="J1851" s="6">
        <f>VLOOKUP($D1851,Sheet1!$A$5:$C$192,3,TRUE)</f>
        <v>12</v>
      </c>
      <c r="K1851" s="42" t="str">
        <f>VLOOKUP($D1851,Sheet1!$A$5:$C$192,2,TRUE)</f>
        <v>(|\</v>
      </c>
      <c r="L1851" s="6">
        <f>FLOOR(VLOOKUP($D1851,Sheet1!$D$5:$F$192,3,TRUE),1)</f>
        <v>28</v>
      </c>
      <c r="M1851" s="42" t="str">
        <f>VLOOKUP($D1851,Sheet1!$D$5:$F$192,2,TRUE)</f>
        <v>)|\\</v>
      </c>
      <c r="N1851" s="23">
        <f>FLOOR(VLOOKUP($D1851,Sheet1!$G$5:$I$192,3,TRUE),1)</f>
        <v>34</v>
      </c>
      <c r="O1851" s="43" t="str">
        <f>VLOOKUP($D1851,Sheet1!$G$5:$I$192,2,TRUE)</f>
        <v>)|\\</v>
      </c>
      <c r="P1851" s="23">
        <v>1</v>
      </c>
      <c r="Q1851" s="43" t="str">
        <f>VLOOKUP($D1851,Sheet1!$J$5:$L$192,2,TRUE)</f>
        <v>)|\\.</v>
      </c>
      <c r="R1851" s="23">
        <f>FLOOR(VLOOKUP($D1851,Sheet1!$M$5:$O$192,3,TRUE),1)</f>
        <v>137</v>
      </c>
      <c r="S1851" s="43" t="str">
        <f>VLOOKUP($D1851,Sheet1!$M$5:$O$192,2,TRUE)</f>
        <v>)|\\.</v>
      </c>
      <c r="T1851" s="117">
        <f>IF(ABS(D1851-VLOOKUP($D1851,Sheet1!$M$5:$T$192,8,TRUE))&lt;10^-10,"SoCA",D1851-VLOOKUP($D1851,Sheet1!$M$5:$T$192,8,TRUE))</f>
        <v>0.19936438670876555</v>
      </c>
      <c r="U1851" s="117">
        <f>IF(VLOOKUP($D1851,Sheet1!$M$5:$U$192,9,TRUE)=0,"",IF(ABS(D1851-VLOOKUP($D1851,Sheet1!$M$5:$U$192,9,TRUE))&lt;10^-10,"Alt.",D1851-VLOOKUP($D1851,Sheet1!$M$5:$U$192,9,TRUE)))</f>
        <v>0.17240409150633695</v>
      </c>
      <c r="V1851" s="132">
        <f>$D1851-Sheet1!$M$3*$R1851</f>
        <v>0.22287794752871548</v>
      </c>
    </row>
    <row r="1852" spans="1:22" ht="13.5">
      <c r="A1852" s="23" t="s">
        <v>2037</v>
      </c>
      <c r="B1852" s="23">
        <f>2*3*5*11</f>
        <v>330</v>
      </c>
      <c r="C1852" s="23">
        <f>7^3</f>
        <v>343</v>
      </c>
      <c r="D1852" s="13">
        <f t="shared" si="39"/>
        <v>66.891062312395704</v>
      </c>
      <c r="E1852" s="22">
        <v>11</v>
      </c>
      <c r="F1852" s="65">
        <v>44.771830302012063</v>
      </c>
      <c r="G1852" s="6">
        <v>1143</v>
      </c>
      <c r="H1852" s="6">
        <v>1082</v>
      </c>
      <c r="I1852" s="92">
        <v>0.35159179198649099</v>
      </c>
      <c r="J1852" s="6">
        <f>VLOOKUP($D1852,Sheet1!$A$5:$C$192,3,TRUE)</f>
        <v>12</v>
      </c>
      <c r="K1852" s="42" t="str">
        <f>VLOOKUP($D1852,Sheet1!$A$5:$C$192,2,TRUE)</f>
        <v>(|\</v>
      </c>
      <c r="L1852" s="6">
        <f>FLOOR(VLOOKUP($D1852,Sheet1!$D$5:$F$192,3,TRUE),1)</f>
        <v>28</v>
      </c>
      <c r="M1852" s="42" t="str">
        <f>VLOOKUP($D1852,Sheet1!$D$5:$F$192,2,TRUE)</f>
        <v>)|\\</v>
      </c>
      <c r="N1852" s="23">
        <f>FLOOR(VLOOKUP($D1852,Sheet1!$G$5:$I$192,3,TRUE),1)</f>
        <v>34</v>
      </c>
      <c r="O1852" s="42" t="str">
        <f>VLOOKUP($D1852,Sheet1!$G$5:$I$192,2,TRUE)</f>
        <v>)|\\</v>
      </c>
      <c r="P1852" s="23">
        <v>1</v>
      </c>
      <c r="Q1852" s="43" t="str">
        <f>VLOOKUP($D1852,Sheet1!$J$5:$L$192,2,TRUE)</f>
        <v>)|\\.</v>
      </c>
      <c r="R1852" s="23">
        <f>FLOOR(VLOOKUP($D1852,Sheet1!$M$5:$O$192,3,TRUE),1)</f>
        <v>137</v>
      </c>
      <c r="S1852" s="43" t="str">
        <f>VLOOKUP($D1852,Sheet1!$M$5:$O$192,2,TRUE)</f>
        <v>)|\\.</v>
      </c>
      <c r="T1852" s="117">
        <f>IF(ABS(D1852-VLOOKUP($D1852,Sheet1!$M$5:$T$192,8,TRUE))&lt;10^-10,"SoCA",D1852-VLOOKUP($D1852,Sheet1!$M$5:$T$192,8,TRUE))</f>
        <v>2.2716863564880896E-2</v>
      </c>
      <c r="U1852" s="117">
        <f>IF(VLOOKUP($D1852,Sheet1!$M$5:$U$192,9,TRUE)=0,"",IF(ABS(D1852-VLOOKUP($D1852,Sheet1!$M$5:$U$192,9,TRUE))&lt;10^-10,"Alt.",D1852-VLOOKUP($D1852,Sheet1!$M$5:$U$192,9,TRUE)))</f>
        <v>-4.243431637547701E-3</v>
      </c>
      <c r="V1852" s="132">
        <f>$D1852-Sheet1!$M$3*$R1852</f>
        <v>4.6230424384830826E-2</v>
      </c>
    </row>
    <row r="1853" spans="1:22" ht="13.5">
      <c r="A1853" s="23" t="s">
        <v>2039</v>
      </c>
      <c r="B1853" s="23">
        <f>3^2*5*13</f>
        <v>585</v>
      </c>
      <c r="C1853" s="23">
        <f>2^5*19</f>
        <v>608</v>
      </c>
      <c r="D1853" s="13">
        <f t="shared" si="39"/>
        <v>66.761638767382493</v>
      </c>
      <c r="E1853" s="22">
        <v>19</v>
      </c>
      <c r="F1853" s="65">
        <v>45.139787105340069</v>
      </c>
      <c r="G1853" s="6">
        <v>654</v>
      </c>
      <c r="H1853" s="6">
        <v>735</v>
      </c>
      <c r="I1853" s="92">
        <v>0.69931008528893068</v>
      </c>
      <c r="J1853" s="6">
        <f>VLOOKUP($D1853,Sheet1!$A$5:$C$192,3,TRUE)</f>
        <v>12</v>
      </c>
      <c r="K1853" s="42" t="str">
        <f>VLOOKUP($D1853,Sheet1!$A$5:$C$192,2,TRUE)</f>
        <v>(|\</v>
      </c>
      <c r="L1853" s="6">
        <f>FLOOR(VLOOKUP($D1853,Sheet1!$D$5:$F$192,3,TRUE),1)</f>
        <v>28</v>
      </c>
      <c r="M1853" s="42" t="str">
        <f>VLOOKUP($D1853,Sheet1!$D$5:$F$192,2,TRUE)</f>
        <v>)|\\</v>
      </c>
      <c r="N1853" s="23">
        <f>FLOOR(VLOOKUP($D1853,Sheet1!$G$5:$I$192,3,TRUE),1)</f>
        <v>34</v>
      </c>
      <c r="O1853" s="42" t="str">
        <f>VLOOKUP($D1853,Sheet1!$G$5:$I$192,2,TRUE)</f>
        <v>)|\\</v>
      </c>
      <c r="P1853" s="23">
        <v>1</v>
      </c>
      <c r="Q1853" s="43" t="str">
        <f>VLOOKUP($D1853,Sheet1!$J$5:$L$192,2,TRUE)</f>
        <v>)|\\.</v>
      </c>
      <c r="R1853" s="23">
        <f>FLOOR(VLOOKUP($D1853,Sheet1!$M$5:$O$192,3,TRUE),1)</f>
        <v>137</v>
      </c>
      <c r="S1853" s="43" t="str">
        <f>VLOOKUP($D1853,Sheet1!$M$5:$O$192,2,TRUE)</f>
        <v>)|\\.</v>
      </c>
      <c r="T1853" s="117">
        <f>IF(ABS(D1853-VLOOKUP($D1853,Sheet1!$M$5:$T$192,8,TRUE))&lt;10^-10,"SoCA",D1853-VLOOKUP($D1853,Sheet1!$M$5:$T$192,8,TRUE))</f>
        <v>-0.10670668144832973</v>
      </c>
      <c r="U1853" s="117">
        <f>IF(VLOOKUP($D1853,Sheet1!$M$5:$U$192,9,TRUE)=0,"",IF(ABS(D1853-VLOOKUP($D1853,Sheet1!$M$5:$U$192,9,TRUE))&lt;10^-10,"Alt.",D1853-VLOOKUP($D1853,Sheet1!$M$5:$U$192,9,TRUE)))</f>
        <v>-0.13366697665075833</v>
      </c>
      <c r="V1853" s="132">
        <f>$D1853-Sheet1!$M$3*$R1853</f>
        <v>-8.3193120628379802E-2</v>
      </c>
    </row>
    <row r="1854" spans="1:22" ht="13.5">
      <c r="A1854" s="23" t="s">
        <v>2038</v>
      </c>
      <c r="B1854" s="17">
        <f>2^19*5*7</f>
        <v>18350080</v>
      </c>
      <c r="C1854" s="17">
        <f>3^10*17*19</f>
        <v>19072827</v>
      </c>
      <c r="D1854" s="13">
        <f t="shared" si="39"/>
        <v>66.878813952624284</v>
      </c>
      <c r="E1854" s="22">
        <v>19</v>
      </c>
      <c r="F1854" s="65">
        <v>59.702126951815536</v>
      </c>
      <c r="G1854" s="6">
        <v>1219.0999999999999</v>
      </c>
      <c r="H1854" s="6">
        <v>1160.0999999999999</v>
      </c>
      <c r="I1854" s="92">
        <v>0.63725497063145131</v>
      </c>
      <c r="J1854" s="6">
        <f>VLOOKUP($D1854,Sheet1!$A$5:$C$192,3,TRUE)</f>
        <v>12</v>
      </c>
      <c r="K1854" s="42" t="str">
        <f>VLOOKUP($D1854,Sheet1!$A$5:$C$192,2,TRUE)</f>
        <v>(|\</v>
      </c>
      <c r="L1854" s="6">
        <f>FLOOR(VLOOKUP($D1854,Sheet1!$D$5:$F$192,3,TRUE),1)</f>
        <v>28</v>
      </c>
      <c r="M1854" s="42" t="str">
        <f>VLOOKUP($D1854,Sheet1!$D$5:$F$192,2,TRUE)</f>
        <v>)|\\</v>
      </c>
      <c r="N1854" s="23">
        <f>FLOOR(VLOOKUP($D1854,Sheet1!$G$5:$I$192,3,TRUE),1)</f>
        <v>34</v>
      </c>
      <c r="O1854" s="42" t="str">
        <f>VLOOKUP($D1854,Sheet1!$G$5:$I$192,2,TRUE)</f>
        <v>)|\\</v>
      </c>
      <c r="P1854" s="23">
        <v>1</v>
      </c>
      <c r="Q1854" s="43" t="str">
        <f>VLOOKUP($D1854,Sheet1!$J$5:$L$192,2,TRUE)</f>
        <v>)|\\.</v>
      </c>
      <c r="R1854" s="23">
        <f>FLOOR(VLOOKUP($D1854,Sheet1!$M$5:$O$192,3,TRUE),1)</f>
        <v>137</v>
      </c>
      <c r="S1854" s="43" t="str">
        <f>VLOOKUP($D1854,Sheet1!$M$5:$O$192,2,TRUE)</f>
        <v>)|\\.</v>
      </c>
      <c r="T1854" s="117">
        <f>IF(ABS(D1854-VLOOKUP($D1854,Sheet1!$M$5:$T$192,8,TRUE))&lt;10^-10,"SoCA",D1854-VLOOKUP($D1854,Sheet1!$M$5:$T$192,8,TRUE))</f>
        <v>1.0468503793461537E-2</v>
      </c>
      <c r="U1854" s="117">
        <f>IF(VLOOKUP($D1854,Sheet1!$M$5:$U$192,9,TRUE)=0,"",IF(ABS(D1854-VLOOKUP($D1854,Sheet1!$M$5:$U$192,9,TRUE))&lt;10^-10,"Alt.",D1854-VLOOKUP($D1854,Sheet1!$M$5:$U$192,9,TRUE)))</f>
        <v>-1.649179140896706E-2</v>
      </c>
      <c r="V1854" s="132">
        <f>$D1854-Sheet1!$M$3*$R1854</f>
        <v>3.3982064613411467E-2</v>
      </c>
    </row>
    <row r="1855" spans="1:22" ht="13.5">
      <c r="A1855" s="23" t="s">
        <v>2040</v>
      </c>
      <c r="B1855" s="17">
        <f>2^20</f>
        <v>1048576</v>
      </c>
      <c r="C1855" s="17">
        <f>3^6*5*13*23</f>
        <v>1089855</v>
      </c>
      <c r="D1855" s="13">
        <f t="shared" si="39"/>
        <v>66.845728094885359</v>
      </c>
      <c r="E1855" s="22">
        <v>23</v>
      </c>
      <c r="F1855" s="65">
        <v>66.30323954089765</v>
      </c>
      <c r="G1855" s="18">
        <v>2000000</v>
      </c>
      <c r="H1855" s="18">
        <v>2000000</v>
      </c>
      <c r="I1855" s="92">
        <v>3.834701409601747E-2</v>
      </c>
      <c r="J1855" s="6">
        <f>VLOOKUP($D1855,Sheet1!$A$5:$C$192,3,TRUE)</f>
        <v>12</v>
      </c>
      <c r="K1855" s="42" t="str">
        <f>VLOOKUP($D1855,Sheet1!$A$5:$C$192,2,TRUE)</f>
        <v>(|\</v>
      </c>
      <c r="L1855" s="6">
        <f>FLOOR(VLOOKUP($D1855,Sheet1!$D$5:$F$192,3,TRUE),1)</f>
        <v>28</v>
      </c>
      <c r="M1855" s="42" t="str">
        <f>VLOOKUP($D1855,Sheet1!$D$5:$F$192,2,TRUE)</f>
        <v>)|\\</v>
      </c>
      <c r="N1855" s="23">
        <f>FLOOR(VLOOKUP($D1855,Sheet1!$G$5:$I$192,3,TRUE),1)</f>
        <v>34</v>
      </c>
      <c r="O1855" s="42" t="str">
        <f>VLOOKUP($D1855,Sheet1!$G$5:$I$192,2,TRUE)</f>
        <v>)|\\</v>
      </c>
      <c r="P1855" s="23">
        <v>1</v>
      </c>
      <c r="Q1855" s="43" t="str">
        <f>VLOOKUP($D1855,Sheet1!$J$5:$L$192,2,TRUE)</f>
        <v>)|\\.</v>
      </c>
      <c r="R1855" s="23">
        <f>FLOOR(VLOOKUP($D1855,Sheet1!$M$5:$O$192,3,TRUE),1)</f>
        <v>137</v>
      </c>
      <c r="S1855" s="43" t="str">
        <f>VLOOKUP($D1855,Sheet1!$M$5:$O$192,2,TRUE)</f>
        <v>)|\\.</v>
      </c>
      <c r="T1855" s="117">
        <f>IF(ABS(D1855-VLOOKUP($D1855,Sheet1!$M$5:$T$192,8,TRUE))&lt;10^-10,"SoCA",D1855-VLOOKUP($D1855,Sheet1!$M$5:$T$192,8,TRUE))</f>
        <v>-2.2617353945463492E-2</v>
      </c>
      <c r="U1855" s="117">
        <f>IF(VLOOKUP($D1855,Sheet1!$M$5:$U$192,9,TRUE)=0,"",IF(ABS(D1855-VLOOKUP($D1855,Sheet1!$M$5:$U$192,9,TRUE))&lt;10^-10,"Alt.",D1855-VLOOKUP($D1855,Sheet1!$M$5:$U$192,9,TRUE)))</f>
        <v>-4.9577649147892089E-2</v>
      </c>
      <c r="V1855" s="132">
        <f>$D1855-Sheet1!$M$3*$R1855</f>
        <v>8.9620687448643821E-4</v>
      </c>
    </row>
    <row r="1856" spans="1:22" ht="13.5">
      <c r="A1856" s="87" t="s">
        <v>1783</v>
      </c>
      <c r="B1856" s="86">
        <f>2^28</f>
        <v>268435456</v>
      </c>
      <c r="C1856" s="86">
        <f>3^13*5^2*7</f>
        <v>279006525</v>
      </c>
      <c r="D1856" s="13">
        <f t="shared" si="39"/>
        <v>66.868345448830993</v>
      </c>
      <c r="E1856" s="61">
        <v>7</v>
      </c>
      <c r="F1856" s="65">
        <v>97.663874505028943</v>
      </c>
      <c r="G1856" s="14">
        <v>60.1</v>
      </c>
      <c r="H1856" s="6">
        <v>74.099999999999994</v>
      </c>
      <c r="I1856" s="65">
        <v>8.8826723560695591</v>
      </c>
      <c r="J1856" s="23">
        <f>VLOOKUP($D1856,Sheet1!$A$5:$C$192,3,TRUE)</f>
        <v>12</v>
      </c>
      <c r="K1856" s="42" t="str">
        <f>VLOOKUP($D1856,Sheet1!$A$5:$C$192,2,TRUE)</f>
        <v>(|\</v>
      </c>
      <c r="L1856" s="6">
        <f>FLOOR(VLOOKUP($D1856,Sheet1!$D$5:$F$192,3,TRUE),1)</f>
        <v>28</v>
      </c>
      <c r="M1856" s="42" t="str">
        <f>VLOOKUP($D1856,Sheet1!$D$5:$F$192,2,TRUE)</f>
        <v>)|\\</v>
      </c>
      <c r="N1856" s="23">
        <f>FLOOR(VLOOKUP($D1856,Sheet1!$G$5:$I$192,3,TRUE),1)</f>
        <v>34</v>
      </c>
      <c r="O1856" s="43" t="str">
        <f>VLOOKUP($D1856,Sheet1!$G$5:$I$192,2,TRUE)</f>
        <v>)|\\</v>
      </c>
      <c r="P1856" s="23">
        <v>1</v>
      </c>
      <c r="Q1856" s="45" t="str">
        <f>VLOOKUP($D1856,Sheet1!$J$5:$L$192,2,TRUE)</f>
        <v>)|\\.</v>
      </c>
      <c r="R1856" s="38">
        <f>FLOOR(VLOOKUP($D1856,Sheet1!$M$5:$O$192,3,TRUE),1)</f>
        <v>137</v>
      </c>
      <c r="S1856" s="45" t="str">
        <f>VLOOKUP($D1856,Sheet1!$M$5:$O$192,2,TRUE)</f>
        <v>)|\\.</v>
      </c>
      <c r="T1856" s="112" t="str">
        <f>IF(ABS(D1856-VLOOKUP($D1856,Sheet1!$M$5:$T$192,8,TRUE))&lt;10^-10,"SoCA",D1856-VLOOKUP($D1856,Sheet1!$M$5:$T$192,8,TRUE))</f>
        <v>SoCA</v>
      </c>
      <c r="U1856" s="108">
        <f>IF(VLOOKUP($D1856,Sheet1!$M$5:$U$192,9,TRUE)=0,"",IF(ABS(D1856-VLOOKUP($D1856,Sheet1!$M$5:$U$192,9,TRUE))&lt;10^-10,"Alt.",D1856-VLOOKUP($D1856,Sheet1!$M$5:$U$192,9,TRUE)))</f>
        <v>-2.6960295202258067E-2</v>
      </c>
      <c r="V1856" s="133">
        <f>$D1856-Sheet1!$M$3*$R1856</f>
        <v>2.351356082012046E-2</v>
      </c>
    </row>
    <row r="1857" spans="1:22" ht="13.5">
      <c r="A1857" s="21" t="s">
        <v>1917</v>
      </c>
      <c r="B1857" s="21">
        <f>2^8*7</f>
        <v>1792</v>
      </c>
      <c r="C1857" s="21">
        <f>3^4*23</f>
        <v>1863</v>
      </c>
      <c r="D1857" s="13">
        <f t="shared" si="39"/>
        <v>67.268444260840354</v>
      </c>
      <c r="E1857" s="61">
        <v>23</v>
      </c>
      <c r="F1857" s="65">
        <v>30.163728052771958</v>
      </c>
      <c r="G1857" s="6">
        <v>64.099999999999994</v>
      </c>
      <c r="H1857" s="6">
        <v>58.1</v>
      </c>
      <c r="I1857" s="65">
        <v>-0.14196318542518949</v>
      </c>
      <c r="J1857" s="23">
        <f>VLOOKUP($D1857,Sheet1!$A$5:$C$192,3,TRUE)</f>
        <v>12</v>
      </c>
      <c r="K1857" s="43" t="str">
        <f>VLOOKUP($D1857,Sheet1!$A$5:$C$192,2,TRUE)</f>
        <v>(|\</v>
      </c>
      <c r="L1857" s="23">
        <f>FLOOR(VLOOKUP($D1857,Sheet1!$D$5:$F$192,3,TRUE),1)</f>
        <v>28</v>
      </c>
      <c r="M1857" s="43" t="str">
        <f>VLOOKUP($D1857,Sheet1!$D$5:$F$192,2,TRUE)</f>
        <v>)|\\</v>
      </c>
      <c r="N1857" s="23">
        <f>FLOOR(VLOOKUP($D1857,Sheet1!$G$5:$I$192,3,TRUE),1)</f>
        <v>34</v>
      </c>
      <c r="O1857" s="43" t="str">
        <f>VLOOKUP($D1857,Sheet1!$G$5:$I$192,2,TRUE)</f>
        <v>)|\\</v>
      </c>
      <c r="P1857" s="23">
        <v>1</v>
      </c>
      <c r="Q1857" s="43" t="str">
        <f>VLOOKUP($D1857,Sheet1!$J$5:$L$192,2,TRUE)</f>
        <v>)|\\</v>
      </c>
      <c r="R1857" s="23">
        <f>FLOOR(VLOOKUP($D1857,Sheet1!$M$5:$O$192,3,TRUE),1)</f>
        <v>138</v>
      </c>
      <c r="S1857" s="43" t="str">
        <f>VLOOKUP($D1857,Sheet1!$M$5:$O$192,2,TRUE)</f>
        <v>)|\\</v>
      </c>
      <c r="T1857" s="117">
        <f>IF(ABS(D1857-VLOOKUP($D1857,Sheet1!$M$5:$T$192,8,TRUE))&lt;10^-10,"SoCA",D1857-VLOOKUP($D1857,Sheet1!$M$5:$T$192,8,TRUE))</f>
        <v>-2.2617353945292962E-2</v>
      </c>
      <c r="U1857" s="117" t="str">
        <f>IF(VLOOKUP($D1857,Sheet1!$M$5:$U$192,9,TRUE)=0,"",IF(ABS(D1857-VLOOKUP($D1857,Sheet1!$M$5:$U$192,9,TRUE))&lt;10^-10,"Alt.",D1857-VLOOKUP($D1857,Sheet1!$M$5:$U$192,9,TRUE)))</f>
        <v/>
      </c>
      <c r="V1857" s="132">
        <f>$D1857-Sheet1!$M$3*$R1857</f>
        <v>-6.4306108104901227E-2</v>
      </c>
    </row>
    <row r="1858" spans="1:22" ht="13.5">
      <c r="A1858" s="33" t="s">
        <v>260</v>
      </c>
      <c r="B1858" s="33">
        <f>2^16*13</f>
        <v>851968</v>
      </c>
      <c r="C1858" s="33">
        <f>3^11*5</f>
        <v>885735</v>
      </c>
      <c r="D1858" s="13">
        <f t="shared" si="39"/>
        <v>67.291061614785647</v>
      </c>
      <c r="E1858" s="61">
        <v>13</v>
      </c>
      <c r="F1858" s="65">
        <v>35.905387711368711</v>
      </c>
      <c r="G1858" s="6">
        <v>37.1</v>
      </c>
      <c r="H1858" s="6">
        <v>37.1</v>
      </c>
      <c r="I1858" s="65">
        <v>6.856644181692892</v>
      </c>
      <c r="J1858" s="6">
        <f>VLOOKUP($D1858,Sheet1!$A$5:$C$192,3,TRUE)</f>
        <v>12</v>
      </c>
      <c r="K1858" s="42" t="str">
        <f>VLOOKUP($D1858,Sheet1!$A$5:$C$192,2,TRUE)</f>
        <v>(|\</v>
      </c>
      <c r="L1858" s="34">
        <f>FLOOR(VLOOKUP($D1858,Sheet1!$D$5:$F$192,3,TRUE),1)</f>
        <v>28</v>
      </c>
      <c r="M1858" s="41" t="str">
        <f>VLOOKUP($D1858,Sheet1!$D$5:$F$192,2,TRUE)</f>
        <v>)|\\</v>
      </c>
      <c r="N1858" s="34">
        <f>FLOOR(VLOOKUP($D1858,Sheet1!$G$5:$I$192,3,TRUE),1)</f>
        <v>34</v>
      </c>
      <c r="O1858" s="41" t="str">
        <f>VLOOKUP($D1858,Sheet1!$G$5:$I$192,2,TRUE)</f>
        <v>)|\\</v>
      </c>
      <c r="P1858" s="34">
        <v>1</v>
      </c>
      <c r="Q1858" s="41" t="str">
        <f>VLOOKUP($D1858,Sheet1!$J$5:$L$192,2,TRUE)</f>
        <v>)|\\</v>
      </c>
      <c r="R1858" s="34">
        <f>FLOOR(VLOOKUP($D1858,Sheet1!$M$5:$O$192,3,TRUE),1)</f>
        <v>138</v>
      </c>
      <c r="S1858" s="41" t="str">
        <f>VLOOKUP($D1858,Sheet1!$M$5:$O$192,2,TRUE)</f>
        <v>)|\\</v>
      </c>
      <c r="T1858" s="114" t="str">
        <f>IF(ABS(D1858-VLOOKUP($D1858,Sheet1!$M$5:$T$192,8,TRUE))&lt;10^-10,"SoCA",D1858-VLOOKUP($D1858,Sheet1!$M$5:$T$192,8,TRUE))</f>
        <v>SoCA</v>
      </c>
      <c r="U1858" s="126" t="str">
        <f>IF(VLOOKUP($D1858,Sheet1!$M$5:$U$192,9,TRUE)=0,"",IF(ABS(D1858-VLOOKUP($D1858,Sheet1!$M$5:$U$192,9,TRUE))&lt;10^-10,"Alt.",D1858-VLOOKUP($D1858,Sheet1!$M$5:$U$192,9,TRUE)))</f>
        <v/>
      </c>
      <c r="V1858" s="137">
        <f>$D1858-Sheet1!$M$3*$R1858</f>
        <v>-4.1688754159608266E-2</v>
      </c>
    </row>
    <row r="1859" spans="1:22" ht="13.5">
      <c r="A1859" s="6" t="s">
        <v>2045</v>
      </c>
      <c r="B1859" s="6">
        <f>3^4*19</f>
        <v>1539</v>
      </c>
      <c r="C1859" s="6">
        <f>2^6*5^2</f>
        <v>1600</v>
      </c>
      <c r="D1859" s="13">
        <f t="shared" si="39"/>
        <v>67.294408135817278</v>
      </c>
      <c r="E1859" s="22">
        <v>19</v>
      </c>
      <c r="F1859" s="65">
        <v>37.634017487253161</v>
      </c>
      <c r="G1859" s="6">
        <v>213</v>
      </c>
      <c r="H1859" s="6">
        <v>243</v>
      </c>
      <c r="I1859" s="92">
        <v>2.6822552598282128</v>
      </c>
      <c r="J1859" s="6">
        <f>VLOOKUP($D1859,Sheet1!$A$5:$C$192,3,TRUE)</f>
        <v>12</v>
      </c>
      <c r="K1859" s="42" t="str">
        <f>VLOOKUP($D1859,Sheet1!$A$5:$C$192,2,TRUE)</f>
        <v>(|\</v>
      </c>
      <c r="L1859" s="6">
        <f>FLOOR(VLOOKUP($D1859,Sheet1!$D$5:$F$192,3,TRUE),1)</f>
        <v>28</v>
      </c>
      <c r="M1859" s="42" t="str">
        <f>VLOOKUP($D1859,Sheet1!$D$5:$F$192,2,TRUE)</f>
        <v>)|\\</v>
      </c>
      <c r="N1859" s="23">
        <f>FLOOR(VLOOKUP($D1859,Sheet1!$G$5:$I$192,3,TRUE),1)</f>
        <v>34</v>
      </c>
      <c r="O1859" s="42" t="str">
        <f>VLOOKUP($D1859,Sheet1!$G$5:$I$192,2,TRUE)</f>
        <v>)|\\</v>
      </c>
      <c r="P1859" s="23">
        <v>1</v>
      </c>
      <c r="Q1859" s="43" t="str">
        <f>VLOOKUP($D1859,Sheet1!$J$5:$L$192,2,TRUE)</f>
        <v>)|\\</v>
      </c>
      <c r="R1859" s="23">
        <f>FLOOR(VLOOKUP($D1859,Sheet1!$M$5:$O$192,3,TRUE),1)</f>
        <v>138</v>
      </c>
      <c r="S1859" s="42" t="str">
        <f>VLOOKUP($D1859,Sheet1!$M$5:$O$192,2,TRUE)</f>
        <v>)|\\</v>
      </c>
      <c r="T1859" s="117">
        <f>IF(ABS(D1859-VLOOKUP($D1859,Sheet1!$M$5:$T$192,8,TRUE))&lt;10^-10,"SoCA",D1859-VLOOKUP($D1859,Sheet1!$M$5:$T$192,8,TRUE))</f>
        <v>3.3465210316308003E-3</v>
      </c>
      <c r="U1859" s="109" t="str">
        <f>IF(VLOOKUP($D1859,Sheet1!$M$5:$U$192,9,TRUE)=0,"",IF(ABS(D1859-VLOOKUP($D1859,Sheet1!$M$5:$U$192,9,TRUE))&lt;10^-10,"Alt.",D1859-VLOOKUP($D1859,Sheet1!$M$5:$U$192,9,TRUE)))</f>
        <v/>
      </c>
      <c r="V1859" s="132">
        <f>$D1859-Sheet1!$M$3*$R1859</f>
        <v>-3.8342233127977465E-2</v>
      </c>
    </row>
    <row r="1860" spans="1:22" ht="13.5">
      <c r="A1860" s="6" t="s">
        <v>2041</v>
      </c>
      <c r="B1860" s="6">
        <f>5*11*17</f>
        <v>935</v>
      </c>
      <c r="C1860" s="6">
        <f>2^2*3^5</f>
        <v>972</v>
      </c>
      <c r="D1860" s="13">
        <f t="shared" si="39"/>
        <v>67.187938596938253</v>
      </c>
      <c r="E1860" s="22">
        <v>17</v>
      </c>
      <c r="F1860" s="65">
        <v>53.13211268686036</v>
      </c>
      <c r="G1860" s="14">
        <v>745.1</v>
      </c>
      <c r="H1860" s="14">
        <v>656.1</v>
      </c>
      <c r="I1860" s="92">
        <v>1.7861346390661975E-2</v>
      </c>
      <c r="J1860" s="6">
        <f>VLOOKUP($D1860,Sheet1!$A$5:$C$192,3,TRUE)</f>
        <v>12</v>
      </c>
      <c r="K1860" s="42" t="str">
        <f>VLOOKUP($D1860,Sheet1!$A$5:$C$192,2,TRUE)</f>
        <v>(|\</v>
      </c>
      <c r="L1860" s="6">
        <f>FLOOR(VLOOKUP($D1860,Sheet1!$D$5:$F$192,3,TRUE),1)</f>
        <v>28</v>
      </c>
      <c r="M1860" s="42" t="str">
        <f>VLOOKUP($D1860,Sheet1!$D$5:$F$192,2,TRUE)</f>
        <v>)|\\</v>
      </c>
      <c r="N1860" s="23">
        <f>FLOOR(VLOOKUP($D1860,Sheet1!$G$5:$I$192,3,TRUE),1)</f>
        <v>34</v>
      </c>
      <c r="O1860" s="42" t="str">
        <f>VLOOKUP($D1860,Sheet1!$G$5:$I$192,2,TRUE)</f>
        <v>)|\\</v>
      </c>
      <c r="P1860" s="23">
        <v>1</v>
      </c>
      <c r="Q1860" s="43" t="str">
        <f>VLOOKUP($D1860,Sheet1!$J$5:$L$192,2,TRUE)</f>
        <v>)|\\</v>
      </c>
      <c r="R1860" s="23">
        <f>FLOOR(VLOOKUP($D1860,Sheet1!$M$5:$O$192,3,TRUE),1)</f>
        <v>138</v>
      </c>
      <c r="S1860" s="42" t="str">
        <f>VLOOKUP($D1860,Sheet1!$M$5:$O$192,2,TRUE)</f>
        <v>)|\\</v>
      </c>
      <c r="T1860" s="117">
        <f>IF(ABS(D1860-VLOOKUP($D1860,Sheet1!$M$5:$T$192,8,TRUE))&lt;10^-10,"SoCA",D1860-VLOOKUP($D1860,Sheet1!$M$5:$T$192,8,TRUE))</f>
        <v>-0.10312301784739475</v>
      </c>
      <c r="U1860" s="109" t="str">
        <f>IF(VLOOKUP($D1860,Sheet1!$M$5:$U$192,9,TRUE)=0,"",IF(ABS(D1860-VLOOKUP($D1860,Sheet1!$M$5:$U$192,9,TRUE))&lt;10^-10,"Alt.",D1860-VLOOKUP($D1860,Sheet1!$M$5:$U$192,9,TRUE)))</f>
        <v/>
      </c>
      <c r="V1860" s="132">
        <f>$D1860-Sheet1!$M$3*$R1860</f>
        <v>-0.14481177200700301</v>
      </c>
    </row>
    <row r="1861" spans="1:22" ht="13.5">
      <c r="A1861" s="6" t="s">
        <v>2042</v>
      </c>
      <c r="B1861" s="6">
        <f>2^11*5</f>
        <v>10240</v>
      </c>
      <c r="C1861" s="6">
        <f>3^2*7*13^2</f>
        <v>10647</v>
      </c>
      <c r="D1861" s="13">
        <f t="shared" si="39"/>
        <v>67.47751787368621</v>
      </c>
      <c r="E1861" s="22">
        <v>13</v>
      </c>
      <c r="F1861" s="65">
        <v>53.286131046773967</v>
      </c>
      <c r="G1861" s="6">
        <v>858</v>
      </c>
      <c r="H1861" s="6">
        <v>796</v>
      </c>
      <c r="I1861" s="92">
        <v>4.5374301821093491E-2</v>
      </c>
      <c r="J1861" s="6">
        <f>VLOOKUP($D1861,Sheet1!$A$5:$C$192,3,TRUE)</f>
        <v>12</v>
      </c>
      <c r="K1861" s="42" t="str">
        <f>VLOOKUP($D1861,Sheet1!$A$5:$C$192,2,TRUE)</f>
        <v>(|\</v>
      </c>
      <c r="L1861" s="6">
        <f>FLOOR(VLOOKUP($D1861,Sheet1!$D$5:$F$192,3,TRUE),1)</f>
        <v>28</v>
      </c>
      <c r="M1861" s="42" t="str">
        <f>VLOOKUP($D1861,Sheet1!$D$5:$F$192,2,TRUE)</f>
        <v>)|\\</v>
      </c>
      <c r="N1861" s="23">
        <f>FLOOR(VLOOKUP($D1861,Sheet1!$G$5:$I$192,3,TRUE),1)</f>
        <v>34</v>
      </c>
      <c r="O1861" s="42" t="str">
        <f>VLOOKUP($D1861,Sheet1!$G$5:$I$192,2,TRUE)</f>
        <v>)|\\</v>
      </c>
      <c r="P1861" s="23">
        <v>1</v>
      </c>
      <c r="Q1861" s="43" t="str">
        <f>VLOOKUP($D1861,Sheet1!$J$5:$L$192,2,TRUE)</f>
        <v>)|\\</v>
      </c>
      <c r="R1861" s="23">
        <f>FLOOR(VLOOKUP($D1861,Sheet1!$M$5:$O$192,3,TRUE),1)</f>
        <v>138</v>
      </c>
      <c r="S1861" s="42" t="str">
        <f>VLOOKUP($D1861,Sheet1!$M$5:$O$192,2,TRUE)</f>
        <v>)|\\</v>
      </c>
      <c r="T1861" s="117">
        <f>IF(ABS(D1861-VLOOKUP($D1861,Sheet1!$M$5:$T$192,8,TRUE))&lt;10^-10,"SoCA",D1861-VLOOKUP($D1861,Sheet1!$M$5:$T$192,8,TRUE))</f>
        <v>0.18645625890056294</v>
      </c>
      <c r="U1861" s="109" t="str">
        <f>IF(VLOOKUP($D1861,Sheet1!$M$5:$U$192,9,TRUE)=0,"",IF(ABS(D1861-VLOOKUP($D1861,Sheet1!$M$5:$U$192,9,TRUE))&lt;10^-10,"Alt.",D1861-VLOOKUP($D1861,Sheet1!$M$5:$U$192,9,TRUE)))</f>
        <v/>
      </c>
      <c r="V1861" s="132">
        <f>$D1861-Sheet1!$M$3*$R1861</f>
        <v>0.14476750474095468</v>
      </c>
    </row>
    <row r="1862" spans="1:22" ht="13.5">
      <c r="A1862" s="6" t="s">
        <v>2044</v>
      </c>
      <c r="B1862" s="6">
        <f>2^12*19</f>
        <v>77824</v>
      </c>
      <c r="C1862" s="6">
        <f>3^7*37</f>
        <v>80919</v>
      </c>
      <c r="D1862" s="13">
        <f t="shared" si="39"/>
        <v>67.516028680148963</v>
      </c>
      <c r="E1862" s="22">
        <v>37</v>
      </c>
      <c r="F1862" s="65">
        <v>57.516044159506144</v>
      </c>
      <c r="G1862" s="14">
        <v>163.1</v>
      </c>
      <c r="H1862" s="14">
        <v>151.1</v>
      </c>
      <c r="I1862" s="92">
        <v>8.0460765816695645E-2</v>
      </c>
      <c r="J1862" s="6">
        <f>VLOOKUP($D1862,Sheet1!$A$5:$C$192,3,TRUE)</f>
        <v>12</v>
      </c>
      <c r="K1862" s="42" t="str">
        <f>VLOOKUP($D1862,Sheet1!$A$5:$C$192,2,TRUE)</f>
        <v>(|\</v>
      </c>
      <c r="L1862" s="6">
        <f>FLOOR(VLOOKUP($D1862,Sheet1!$D$5:$F$192,3,TRUE),1)</f>
        <v>28</v>
      </c>
      <c r="M1862" s="42" t="str">
        <f>VLOOKUP($D1862,Sheet1!$D$5:$F$192,2,TRUE)</f>
        <v>)|\\</v>
      </c>
      <c r="N1862" s="23">
        <f>FLOOR(VLOOKUP($D1862,Sheet1!$G$5:$I$192,3,TRUE),1)</f>
        <v>34</v>
      </c>
      <c r="O1862" s="42" t="str">
        <f>VLOOKUP($D1862,Sheet1!$G$5:$I$192,2,TRUE)</f>
        <v>)|\\</v>
      </c>
      <c r="P1862" s="23">
        <v>1</v>
      </c>
      <c r="Q1862" s="43" t="str">
        <f>VLOOKUP($D1862,Sheet1!$J$5:$L$192,2,TRUE)</f>
        <v>)|\\</v>
      </c>
      <c r="R1862" s="23">
        <f>FLOOR(VLOOKUP($D1862,Sheet1!$M$5:$O$192,3,TRUE),1)</f>
        <v>138</v>
      </c>
      <c r="S1862" s="42" t="str">
        <f>VLOOKUP($D1862,Sheet1!$M$5:$O$192,2,TRUE)</f>
        <v>)|\\</v>
      </c>
      <c r="T1862" s="117">
        <f>IF(ABS(D1862-VLOOKUP($D1862,Sheet1!$M$5:$T$192,8,TRUE))&lt;10^-10,"SoCA",D1862-VLOOKUP($D1862,Sheet1!$M$5:$T$192,8,TRUE))</f>
        <v>0.22496706536331601</v>
      </c>
      <c r="U1862" s="109" t="str">
        <f>IF(VLOOKUP($D1862,Sheet1!$M$5:$U$192,9,TRUE)=0,"",IF(ABS(D1862-VLOOKUP($D1862,Sheet1!$M$5:$U$192,9,TRUE))&lt;10^-10,"Alt.",D1862-VLOOKUP($D1862,Sheet1!$M$5:$U$192,9,TRUE)))</f>
        <v/>
      </c>
      <c r="V1862" s="132">
        <f>$D1862-Sheet1!$M$3*$R1862</f>
        <v>0.18327831120370774</v>
      </c>
    </row>
    <row r="1863" spans="1:22" ht="13.5">
      <c r="A1863" s="6" t="s">
        <v>2043</v>
      </c>
      <c r="B1863" s="6">
        <f>2^7*11^3</f>
        <v>170368</v>
      </c>
      <c r="C1863" s="6">
        <f>3^11</f>
        <v>177147</v>
      </c>
      <c r="D1863" s="13">
        <f t="shared" si="39"/>
        <v>67.551182424991396</v>
      </c>
      <c r="E1863" s="22">
        <v>11</v>
      </c>
      <c r="F1863" s="65">
        <v>74.037626625265105</v>
      </c>
      <c r="G1863" s="6">
        <v>416.1</v>
      </c>
      <c r="H1863" s="6">
        <v>437.1</v>
      </c>
      <c r="I1863" s="92">
        <v>1.1255408352042175</v>
      </c>
      <c r="J1863" s="6">
        <f>VLOOKUP($D1863,Sheet1!$A$5:$C$192,3,TRUE)</f>
        <v>12</v>
      </c>
      <c r="K1863" s="42" t="str">
        <f>VLOOKUP($D1863,Sheet1!$A$5:$C$192,2,TRUE)</f>
        <v>(|\</v>
      </c>
      <c r="L1863" s="6">
        <f>FLOOR(VLOOKUP($D1863,Sheet1!$D$5:$F$192,3,TRUE),1)</f>
        <v>28</v>
      </c>
      <c r="M1863" s="42" t="str">
        <f>VLOOKUP($D1863,Sheet1!$D$5:$F$192,2,TRUE)</f>
        <v>)|\\</v>
      </c>
      <c r="N1863" s="23">
        <f>FLOOR(VLOOKUP($D1863,Sheet1!$G$5:$I$192,3,TRUE),1)</f>
        <v>34</v>
      </c>
      <c r="O1863" s="42" t="str">
        <f>VLOOKUP($D1863,Sheet1!$G$5:$I$192,2,TRUE)</f>
        <v>)|\\</v>
      </c>
      <c r="P1863" s="23">
        <v>1</v>
      </c>
      <c r="Q1863" s="43" t="str">
        <f>VLOOKUP($D1863,Sheet1!$J$5:$L$192,2,TRUE)</f>
        <v>)|\\</v>
      </c>
      <c r="R1863" s="23">
        <f>FLOOR(VLOOKUP($D1863,Sheet1!$M$5:$O$192,3,TRUE),1)</f>
        <v>138</v>
      </c>
      <c r="S1863" s="42" t="str">
        <f>VLOOKUP($D1863,Sheet1!$M$5:$O$192,2,TRUE)</f>
        <v>)|\\</v>
      </c>
      <c r="T1863" s="117">
        <f>IF(ABS(D1863-VLOOKUP($D1863,Sheet1!$M$5:$T$192,8,TRUE))&lt;10^-10,"SoCA",D1863-VLOOKUP($D1863,Sheet1!$M$5:$T$192,8,TRUE))</f>
        <v>0.2601208102057484</v>
      </c>
      <c r="U1863" s="109" t="str">
        <f>IF(VLOOKUP($D1863,Sheet1!$M$5:$U$192,9,TRUE)=0,"",IF(ABS(D1863-VLOOKUP($D1863,Sheet1!$M$5:$U$192,9,TRUE))&lt;10^-10,"Alt.",D1863-VLOOKUP($D1863,Sheet1!$M$5:$U$192,9,TRUE)))</f>
        <v/>
      </c>
      <c r="V1863" s="132">
        <f>$D1863-Sheet1!$M$3*$R1863</f>
        <v>0.21843205604614013</v>
      </c>
    </row>
    <row r="1864" spans="1:22" ht="13.5">
      <c r="A1864" s="36" t="s">
        <v>253</v>
      </c>
      <c r="B1864" s="36">
        <f>5^2</f>
        <v>25</v>
      </c>
      <c r="C1864" s="36">
        <f>2*13</f>
        <v>26</v>
      </c>
      <c r="D1864" s="13">
        <f t="shared" si="39"/>
        <v>67.90023403964102</v>
      </c>
      <c r="E1864" s="61">
        <v>13</v>
      </c>
      <c r="F1864" s="65">
        <v>27.770146632599008</v>
      </c>
      <c r="G1864" s="6">
        <v>94</v>
      </c>
      <c r="H1864" s="6">
        <v>92</v>
      </c>
      <c r="I1864" s="65">
        <v>-4.180864783841427</v>
      </c>
      <c r="J1864" s="6">
        <f>VLOOKUP($D1864,Sheet1!$A$5:$C$192,3,TRUE)</f>
        <v>12</v>
      </c>
      <c r="K1864" s="42" t="str">
        <f>VLOOKUP($D1864,Sheet1!$A$5:$C$192,2,TRUE)</f>
        <v>(|\</v>
      </c>
      <c r="L1864" s="6">
        <f>FLOOR(VLOOKUP($D1864,Sheet1!$D$5:$F$192,3,TRUE),1)</f>
        <v>28</v>
      </c>
      <c r="M1864" s="42" t="str">
        <f>VLOOKUP($D1864,Sheet1!$D$5:$F$192,2,TRUE)</f>
        <v>)|\\</v>
      </c>
      <c r="N1864" s="23">
        <f>FLOOR(VLOOKUP($D1864,Sheet1!$G$5:$I$192,3,TRUE),1)</f>
        <v>34</v>
      </c>
      <c r="O1864" s="42" t="str">
        <f>VLOOKUP($D1864,Sheet1!$G$5:$I$192,2,TRUE)</f>
        <v>)|\\</v>
      </c>
      <c r="P1864" s="23">
        <v>1</v>
      </c>
      <c r="Q1864" s="45" t="str">
        <f>VLOOKUP($D1864,Sheet1!$J$5:$L$192,2,TRUE)</f>
        <v>)|\\'</v>
      </c>
      <c r="R1864" s="141">
        <f>FLOOR(VLOOKUP($D1864,Sheet1!$M$5:$O$192,3,TRUE),1)</f>
        <v>139</v>
      </c>
      <c r="S1864" s="45" t="str">
        <f>VLOOKUP($D1864,Sheet1!$M$5:$O$192,2,TRUE)</f>
        <v>)|\\'</v>
      </c>
      <c r="T1864" s="108">
        <f>IF(ABS(D1864-VLOOKUP($D1864,Sheet1!$M$5:$T$192,8,TRUE))&lt;10^-10,"SoCA",D1864-VLOOKUP($D1864,Sheet1!$M$5:$T$192,8,TRUE))</f>
        <v>0.18645625890054873</v>
      </c>
      <c r="U1864" s="108">
        <f>IF(VLOOKUP($D1864,Sheet1!$M$5:$U$192,9,TRUE)=0,"",IF(ABS(D1864-VLOOKUP($D1864,Sheet1!$M$5:$U$192,9,TRUE))&lt;10^-10,"Alt.",D1864-VLOOKUP($D1864,Sheet1!$M$5:$U$192,9,TRUE)))</f>
        <v>0.21341655410297733</v>
      </c>
      <c r="V1864" s="133">
        <f>$D1864-Sheet1!$M$3*$R1864</f>
        <v>7.956518976136806E-2</v>
      </c>
    </row>
    <row r="1865" spans="1:22" ht="13.5">
      <c r="A1865" s="6" t="s">
        <v>446</v>
      </c>
      <c r="B1865" s="6">
        <f>2^17</f>
        <v>131072</v>
      </c>
      <c r="C1865" s="6">
        <f>3^6*11*17</f>
        <v>136323</v>
      </c>
      <c r="D1865" s="13">
        <f t="shared" si="39"/>
        <v>68.0033570574885</v>
      </c>
      <c r="E1865" s="22">
        <v>17</v>
      </c>
      <c r="F1865" s="65">
        <v>39.83425743044436</v>
      </c>
      <c r="G1865" s="6">
        <v>323.10000000000002</v>
      </c>
      <c r="H1865" s="6">
        <v>284.10000000000002</v>
      </c>
      <c r="I1865" s="92">
        <v>3.3004997262543682E-2</v>
      </c>
      <c r="J1865" s="6">
        <f>VLOOKUP($D1865,Sheet1!$A$5:$C$192,3,TRUE)</f>
        <v>12</v>
      </c>
      <c r="K1865" s="42" t="str">
        <f>VLOOKUP($D1865,Sheet1!$A$5:$C$192,2,TRUE)</f>
        <v>(|\</v>
      </c>
      <c r="L1865" s="6">
        <f>FLOOR(VLOOKUP($D1865,Sheet1!$D$5:$F$192,3,TRUE),1)</f>
        <v>28</v>
      </c>
      <c r="M1865" s="42" t="str">
        <f>VLOOKUP($D1865,Sheet1!$D$5:$F$192,2,TRUE)</f>
        <v>)|\\</v>
      </c>
      <c r="N1865" s="23">
        <f>FLOOR(VLOOKUP($D1865,Sheet1!$G$5:$I$192,3,TRUE),1)</f>
        <v>34</v>
      </c>
      <c r="O1865" s="42" t="str">
        <f>VLOOKUP($D1865,Sheet1!$G$5:$I$192,2,TRUE)</f>
        <v>)|\\</v>
      </c>
      <c r="P1865" s="23">
        <v>1</v>
      </c>
      <c r="Q1865" s="43" t="str">
        <f>VLOOKUP($D1865,Sheet1!$J$5:$L$192,2,TRUE)</f>
        <v>)|\\'</v>
      </c>
      <c r="R1865" s="23">
        <f>FLOOR(VLOOKUP($D1865,Sheet1!$M$5:$O$192,3,TRUE),1)</f>
        <v>139</v>
      </c>
      <c r="S1865" s="42" t="str">
        <f>VLOOKUP($D1865,Sheet1!$M$5:$O$192,2,TRUE)</f>
        <v>)|\\'</v>
      </c>
      <c r="T1865" s="117">
        <f>IF(ABS(D1865-VLOOKUP($D1865,Sheet1!$M$5:$T$192,8,TRUE))&lt;10^-10,"SoCA",D1865-VLOOKUP($D1865,Sheet1!$M$5:$T$192,8,TRUE))</f>
        <v>0.28957927674802875</v>
      </c>
      <c r="U1865" s="109">
        <f>IF(VLOOKUP($D1865,Sheet1!$M$5:$U$192,9,TRUE)=0,"",IF(ABS(D1865-VLOOKUP($D1865,Sheet1!$M$5:$U$192,9,TRUE))&lt;10^-10,"Alt.",D1865-VLOOKUP($D1865,Sheet1!$M$5:$U$192,9,TRUE)))</f>
        <v>0.31653957195045734</v>
      </c>
      <c r="V1865" s="132">
        <f>$D1865-Sheet1!$M$3*$R1865</f>
        <v>0.18268820760884807</v>
      </c>
    </row>
    <row r="1866" spans="1:22" ht="13.5">
      <c r="A1866" s="23" t="s">
        <v>2046</v>
      </c>
      <c r="B1866" s="23">
        <f>2^7*5*23</f>
        <v>14720</v>
      </c>
      <c r="C1866" s="23">
        <f>3^7*7</f>
        <v>15309</v>
      </c>
      <c r="D1866" s="13">
        <f t="shared" si="39"/>
        <v>67.922851393586512</v>
      </c>
      <c r="E1866" s="22">
        <v>23</v>
      </c>
      <c r="F1866" s="65">
        <v>43.346973700609595</v>
      </c>
      <c r="G1866" s="23">
        <v>926.1</v>
      </c>
      <c r="H1866" s="23">
        <v>170.6</v>
      </c>
      <c r="I1866" s="92">
        <v>7.0321429440243596E-2</v>
      </c>
      <c r="J1866" s="6">
        <f>VLOOKUP($D1866,Sheet1!$A$5:$C$192,3,TRUE)</f>
        <v>12</v>
      </c>
      <c r="K1866" s="42" t="str">
        <f>VLOOKUP($D1866,Sheet1!$A$5:$C$192,2,TRUE)</f>
        <v>(|\</v>
      </c>
      <c r="L1866" s="6">
        <f>FLOOR(VLOOKUP($D1866,Sheet1!$D$5:$F$192,3,TRUE),1)</f>
        <v>28</v>
      </c>
      <c r="M1866" s="42" t="str">
        <f>VLOOKUP($D1866,Sheet1!$D$5:$F$192,2,TRUE)</f>
        <v>)|\\</v>
      </c>
      <c r="N1866" s="23">
        <f>FLOOR(VLOOKUP($D1866,Sheet1!$G$5:$I$192,3,TRUE),1)</f>
        <v>34</v>
      </c>
      <c r="O1866" s="42" t="str">
        <f>VLOOKUP($D1866,Sheet1!$G$5:$I$192,2,TRUE)</f>
        <v>)|\\</v>
      </c>
      <c r="P1866" s="23">
        <v>1</v>
      </c>
      <c r="Q1866" s="43" t="str">
        <f>VLOOKUP($D1866,Sheet1!$J$5:$L$192,2,TRUE)</f>
        <v>)|\\'</v>
      </c>
      <c r="R1866" s="23">
        <f>FLOOR(VLOOKUP($D1866,Sheet1!$M$5:$O$192,3,TRUE),1)</f>
        <v>139</v>
      </c>
      <c r="S1866" s="42" t="str">
        <f>VLOOKUP($D1866,Sheet1!$M$5:$O$192,2,TRUE)</f>
        <v>)|\\'</v>
      </c>
      <c r="T1866" s="117">
        <f>IF(ABS(D1866-VLOOKUP($D1866,Sheet1!$M$5:$T$192,8,TRUE))&lt;10^-10,"SoCA",D1866-VLOOKUP($D1866,Sheet1!$M$5:$T$192,8,TRUE))</f>
        <v>0.20907361284604065</v>
      </c>
      <c r="U1866" s="109">
        <f>IF(VLOOKUP($D1866,Sheet1!$M$5:$U$192,9,TRUE)=0,"",IF(ABS(D1866-VLOOKUP($D1866,Sheet1!$M$5:$U$192,9,TRUE))&lt;10^-10,"Alt.",D1866-VLOOKUP($D1866,Sheet1!$M$5:$U$192,9,TRUE)))</f>
        <v>0.23603390804846924</v>
      </c>
      <c r="V1866" s="132">
        <f>$D1866-Sheet1!$M$3*$R1866</f>
        <v>0.10218254370685997</v>
      </c>
    </row>
    <row r="1867" spans="1:22" ht="13.5">
      <c r="A1867" s="23" t="s">
        <v>2047</v>
      </c>
      <c r="B1867" s="23">
        <f>2^4*7*13^2</f>
        <v>18928</v>
      </c>
      <c r="C1867" s="23">
        <f>3^9</f>
        <v>19683</v>
      </c>
      <c r="D1867" s="13">
        <f t="shared" si="39"/>
        <v>67.713777780740458</v>
      </c>
      <c r="E1867" s="22">
        <v>13</v>
      </c>
      <c r="F1867" s="65">
        <v>58.107460742102674</v>
      </c>
      <c r="G1867" s="23">
        <v>1111.0999999999999</v>
      </c>
      <c r="H1867" s="23">
        <v>1055.0999999999999</v>
      </c>
      <c r="I1867" s="92">
        <v>0.27943929458745226</v>
      </c>
      <c r="J1867" s="6">
        <f>VLOOKUP($D1867,Sheet1!$A$5:$C$192,3,TRUE)</f>
        <v>12</v>
      </c>
      <c r="K1867" s="42" t="str">
        <f>VLOOKUP($D1867,Sheet1!$A$5:$C$192,2,TRUE)</f>
        <v>(|\</v>
      </c>
      <c r="L1867" s="6">
        <f>FLOOR(VLOOKUP($D1867,Sheet1!$D$5:$F$192,3,TRUE),1)</f>
        <v>28</v>
      </c>
      <c r="M1867" s="42" t="str">
        <f>VLOOKUP($D1867,Sheet1!$D$5:$F$192,2,TRUE)</f>
        <v>)|\\</v>
      </c>
      <c r="N1867" s="23">
        <f>FLOOR(VLOOKUP($D1867,Sheet1!$G$5:$I$192,3,TRUE),1)</f>
        <v>34</v>
      </c>
      <c r="O1867" s="42" t="str">
        <f>VLOOKUP($D1867,Sheet1!$G$5:$I$192,2,TRUE)</f>
        <v>)|\\</v>
      </c>
      <c r="P1867" s="23">
        <v>1</v>
      </c>
      <c r="Q1867" s="43" t="str">
        <f>VLOOKUP($D1867,Sheet1!$J$5:$L$192,2,TRUE)</f>
        <v>)|\\'</v>
      </c>
      <c r="R1867" s="23">
        <f>FLOOR(VLOOKUP($D1867,Sheet1!$M$5:$O$192,3,TRUE),1)</f>
        <v>139</v>
      </c>
      <c r="S1867" s="43" t="str">
        <f>VLOOKUP($D1867,Sheet1!$M$5:$O$192,2,TRUE)</f>
        <v>)|\\'</v>
      </c>
      <c r="T1867" s="117" t="str">
        <f>IF(ABS(D1867-VLOOKUP($D1867,Sheet1!$M$5:$T$192,8,TRUE))&lt;10^-10,"SoCA",D1867-VLOOKUP($D1867,Sheet1!$M$5:$T$192,8,TRUE))</f>
        <v>SoCA</v>
      </c>
      <c r="U1867" s="117">
        <f>IF(VLOOKUP($D1867,Sheet1!$M$5:$U$192,9,TRUE)=0,"",IF(ABS(D1867-VLOOKUP($D1867,Sheet1!$M$5:$U$192,9,TRUE))&lt;10^-10,"Alt.",D1867-VLOOKUP($D1867,Sheet1!$M$5:$U$192,9,TRUE)))</f>
        <v>2.6960295202414386E-2</v>
      </c>
      <c r="V1867" s="132">
        <f>$D1867-Sheet1!$M$3*$R1867</f>
        <v>-0.10689106913919488</v>
      </c>
    </row>
    <row r="1868" spans="1:22" ht="13.5">
      <c r="A1868" s="6" t="s">
        <v>1718</v>
      </c>
      <c r="B1868" s="18">
        <f>2^26*7^2</f>
        <v>3288334336</v>
      </c>
      <c r="C1868" s="18">
        <f>3^14*5*11*13</f>
        <v>3419822835</v>
      </c>
      <c r="D1868" s="13">
        <f t="shared" si="39"/>
        <v>67.877517176076054</v>
      </c>
      <c r="E1868" s="22">
        <v>13</v>
      </c>
      <c r="F1868" s="65">
        <v>233.37734349442181</v>
      </c>
      <c r="G1868" s="23">
        <v>1626.1</v>
      </c>
      <c r="H1868" s="23">
        <v>1567.1</v>
      </c>
      <c r="I1868" s="92">
        <v>9.5074644412979943</v>
      </c>
      <c r="J1868" s="6">
        <f>VLOOKUP($D1868,Sheet1!$A$5:$C$192,3,TRUE)</f>
        <v>12</v>
      </c>
      <c r="K1868" s="42" t="str">
        <f>VLOOKUP($D1868,Sheet1!$A$5:$C$192,2,TRUE)</f>
        <v>(|\</v>
      </c>
      <c r="L1868" s="6">
        <f>FLOOR(VLOOKUP($D1868,Sheet1!$D$5:$F$192,3,TRUE),1)</f>
        <v>28</v>
      </c>
      <c r="M1868" s="42" t="str">
        <f>VLOOKUP($D1868,Sheet1!$D$5:$F$192,2,TRUE)</f>
        <v>)|\\</v>
      </c>
      <c r="N1868" s="23">
        <f>FLOOR(VLOOKUP($D1868,Sheet1!$G$5:$I$192,3,TRUE),1)</f>
        <v>34</v>
      </c>
      <c r="O1868" s="42" t="str">
        <f>VLOOKUP($D1868,Sheet1!$G$5:$I$192,2,TRUE)</f>
        <v>)|\\</v>
      </c>
      <c r="P1868" s="23">
        <v>1</v>
      </c>
      <c r="Q1868" s="43" t="str">
        <f>VLOOKUP($D1868,Sheet1!$J$5:$L$192,2,TRUE)</f>
        <v>)|\\'</v>
      </c>
      <c r="R1868" s="23">
        <f>FLOOR(VLOOKUP($D1868,Sheet1!$M$5:$O$192,3,TRUE),1)</f>
        <v>139</v>
      </c>
      <c r="S1868" s="42" t="str">
        <f>VLOOKUP($D1868,Sheet1!$M$5:$O$192,2,TRUE)</f>
        <v>)|\\'</v>
      </c>
      <c r="T1868" s="117">
        <f>IF(ABS(D1868-VLOOKUP($D1868,Sheet1!$M$5:$T$192,8,TRUE))&lt;10^-10,"SoCA",D1868-VLOOKUP($D1868,Sheet1!$M$5:$T$192,8,TRUE))</f>
        <v>0.16373939533558257</v>
      </c>
      <c r="U1868" s="109">
        <f>IF(VLOOKUP($D1868,Sheet1!$M$5:$U$192,9,TRUE)=0,"",IF(ABS(D1868-VLOOKUP($D1868,Sheet1!$M$5:$U$192,9,TRUE))&lt;10^-10,"Alt.",D1868-VLOOKUP($D1868,Sheet1!$M$5:$U$192,9,TRUE)))</f>
        <v>0.19069969053801117</v>
      </c>
      <c r="V1868" s="132">
        <f>$D1868-Sheet1!$M$3*$R1868</f>
        <v>5.6848326196401899E-2</v>
      </c>
    </row>
    <row r="1869" spans="1:22" ht="13.5">
      <c r="A1869" s="14"/>
      <c r="B1869" s="14" t="s">
        <v>1928</v>
      </c>
      <c r="C1869" s="14"/>
      <c r="D1869" s="13" t="e">
        <f t="shared" si="39"/>
        <v>#VALUE!</v>
      </c>
      <c r="E1869" s="18"/>
      <c r="F1869" s="18">
        <f>10^10</f>
        <v>10000000000</v>
      </c>
      <c r="G1869" s="6">
        <v>291.5</v>
      </c>
      <c r="H1869" s="6">
        <v>200.5</v>
      </c>
      <c r="I1869" s="18"/>
      <c r="J1869" s="6" t="e">
        <f>VLOOKUP($D1869,Sheet1!$A$5:$C$192,3,TRUE)</f>
        <v>#VALUE!</v>
      </c>
      <c r="K1869" s="42" t="e">
        <f>VLOOKUP($D1869,Sheet1!$A$5:$C$192,2,TRUE)</f>
        <v>#VALUE!</v>
      </c>
      <c r="L1869" s="6" t="e">
        <f>FLOOR(VLOOKUP($D1869,Sheet1!$D$5:$F$192,3,TRUE),1)</f>
        <v>#VALUE!</v>
      </c>
      <c r="M1869" s="42" t="e">
        <f>VLOOKUP($D1869,Sheet1!$D$5:$F$192,2,TRUE)</f>
        <v>#VALUE!</v>
      </c>
      <c r="N1869" s="23" t="e">
        <f>FLOOR(VLOOKUP($D1869,Sheet1!$G$5:$I$192,3,TRUE),1)</f>
        <v>#VALUE!</v>
      </c>
      <c r="O1869" s="42" t="e">
        <f>VLOOKUP($D1869,Sheet1!$G$5:$I$192,2,TRUE)</f>
        <v>#VALUE!</v>
      </c>
      <c r="P1869" s="23">
        <v>1</v>
      </c>
      <c r="Q1869" s="43" t="e">
        <f>VLOOKUP($D1869,Sheet1!$J$5:$L$192,2,TRUE)</f>
        <v>#VALUE!</v>
      </c>
      <c r="R1869" s="23" t="e">
        <f>FLOOR(VLOOKUP($D1869,Sheet1!$M$5:$O$192,3,TRUE),1)</f>
        <v>#VALUE!</v>
      </c>
      <c r="S1869" s="42" t="e">
        <f>VLOOKUP($D1869,Sheet1!$M$5:$O$192,2,TRUE)</f>
        <v>#VALUE!</v>
      </c>
      <c r="T1869" s="117" t="e">
        <f>IF(ABS(D1869-VLOOKUP($D1869,Sheet1!$M$5:$T$192,8,TRUE))&lt;10^-10,"SoCA",D1869-VLOOKUP($D1869,Sheet1!$M$5:$T$192,8,TRUE))</f>
        <v>#VALUE!</v>
      </c>
      <c r="U1869" s="109" t="e">
        <f>IF(VLOOKUP($D1869,Sheet1!$M$5:$U$192,9,TRUE)=0,"",IF(ABS(D1869-VLOOKUP($D1869,Sheet1!$M$5:$U$192,9,TRUE))&lt;10^-10,"Alt.",D1869-VLOOKUP($D1869,Sheet1!$M$5:$U$192,9,TRUE)))</f>
        <v>#VALUE!</v>
      </c>
      <c r="V1869" s="132" t="e">
        <f>$D1869-Sheet1!$M$3*$R1869</f>
        <v>#VALUE!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Keenan</dc:creator>
  <cp:lastModifiedBy>David Keenan</cp:lastModifiedBy>
  <dcterms:created xsi:type="dcterms:W3CDTF">2005-06-18T00:53:08Z</dcterms:created>
  <dcterms:modified xsi:type="dcterms:W3CDTF">2020-05-15T07:13:29Z</dcterms:modified>
</cp:coreProperties>
</file>